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320" windowHeight="11220" activeTab="2"/>
  </bookViews>
  <sheets>
    <sheet name="Table of Contents" sheetId="1" r:id="rId1"/>
    <sheet name="Basic School Info" sheetId="2" r:id="rId2"/>
    <sheet name="Tray Purchasing" sheetId="3" r:id="rId3"/>
    <sheet name="CopyPaper Purchasing" sheetId="4" r:id="rId4"/>
    <sheet name="Alum Can Recycling" sheetId="5" r:id="rId5"/>
    <sheet name="Plastic Bottle Recycling" sheetId="6" r:id="rId6"/>
    <sheet name="Paper Recycling" sheetId="7" r:id="rId7"/>
    <sheet name="Battery Intro" sheetId="8" r:id="rId8"/>
    <sheet name="Battery Types" sheetId="9" r:id="rId9"/>
    <sheet name="Battery Classroom Log" sheetId="10" r:id="rId10"/>
    <sheet name="Battery Calc" sheetId="11" r:id="rId11"/>
    <sheet name="Battery Findings" sheetId="12" r:id="rId12"/>
    <sheet name="Home Lighting Log" sheetId="13" r:id="rId13"/>
    <sheet name="Home Lighting Calc" sheetId="14" r:id="rId14"/>
    <sheet name="Home Lighting Findings" sheetId="15" r:id="rId15"/>
    <sheet name="Mercury Facts" sheetId="16" r:id="rId16"/>
    <sheet name="Litter Log" sheetId="17" r:id="rId17"/>
    <sheet name="Zero Waste Log" sheetId="18" r:id="rId18"/>
    <sheet name="Zero Waste Calc" sheetId="19" r:id="rId19"/>
    <sheet name="Zero Waste Findings" sheetId="20" r:id="rId20"/>
    <sheet name="Party Ware" sheetId="21" r:id="rId21"/>
    <sheet name="Conversions" sheetId="22" r:id="rId22"/>
    <sheet name="EDF_results" sheetId="23" r:id="rId23"/>
    <sheet name="Pick_list" sheetId="24" r:id="rId24"/>
    <sheet name="Journal (JXS)" sheetId="25" r:id="rId25"/>
  </sheets>
  <externalReferences>
    <externalReference r:id="rId28"/>
    <externalReference r:id="rId29"/>
    <externalReference r:id="rId30"/>
    <externalReference r:id="rId31"/>
    <externalReference r:id="rId32"/>
  </externalReferences>
  <definedNames>
    <definedName name="Alternative_Paper">'Pick_list'!$B$2:$B$5</definedName>
    <definedName name="Assumption_Paper">'Pick_list'!$A$7:$A$9</definedName>
    <definedName name="BatLogColA">'Battery Findings'!$A$7:$A$22</definedName>
    <definedName name="Bin_size_Paper">'Pick_list'!$B$7:$B$16</definedName>
    <definedName name="Collection_Paper">'Pick_list'!$C$7:$C$13</definedName>
    <definedName name="container_P">'Pick_list'!$A$34:$A$51</definedName>
    <definedName name="cup_P">'Pick_list'!$B$55:$B$58</definedName>
    <definedName name="Days_school_year_P">'[3]Picklist'!$B$2:$B$26</definedName>
    <definedName name="disposal" localSheetId="11">'Battery Findings'!$A$77</definedName>
    <definedName name="disposal_P" localSheetId="10">'Battery Calc'!$A$75</definedName>
    <definedName name="disposal_P" localSheetId="9">'Battery Classroom Log'!$A$79</definedName>
    <definedName name="Fullness_Paper">'Pick_list'!$D$7:$D$16</definedName>
    <definedName name="JumpToTrayPurch">'Tray Purchasing'!$A$1</definedName>
    <definedName name="Light_watt_P">'Pick_list'!$A$23:$A$31</definedName>
    <definedName name="Lunch_container_P">'Pick_list'!$A$35:$A$51</definedName>
    <definedName name="memory" localSheetId="9">'Battery Classroom Log'!$A$93</definedName>
    <definedName name="memory" localSheetId="11">'Battery Findings'!$A$91</definedName>
    <definedName name="memory_P" localSheetId="10">'Battery Calc'!$A$89</definedName>
    <definedName name="overcharging" localSheetId="9">'Battery Classroom Log'!$A$89</definedName>
    <definedName name="overcharging" localSheetId="11">'Battery Findings'!$A$87</definedName>
    <definedName name="overcharging_P" localSheetId="10">'Battery Calc'!$A$85</definedName>
    <definedName name="Paper_type_Paper">'Pick_list'!$D$2:$D$5</definedName>
    <definedName name="plate_P">'Pick_list'!$A$55:$A$58</definedName>
    <definedName name="plate_type_P">'Pick_list'!$A$55:$A$61</definedName>
    <definedName name="_xlnm.Print_Area" localSheetId="21">'Conversions'!$A$1:$E$85</definedName>
    <definedName name="Print_Area_P" localSheetId="8">'Battery Types'!$A$1:$F$39</definedName>
    <definedName name="rechargenicads" localSheetId="9">'Battery Classroom Log'!$A$83</definedName>
    <definedName name="rechargenicads" localSheetId="11">'Battery Findings'!$A$81</definedName>
    <definedName name="rechargenicads_P" localSheetId="10">'Battery Calc'!$A$79</definedName>
    <definedName name="School" localSheetId="10">'[4]Pick_list'!#REF!</definedName>
    <definedName name="School" localSheetId="9">'[4]Pick_list'!#REF!</definedName>
    <definedName name="School" localSheetId="11">'[4]Pick_list'!#REF!</definedName>
    <definedName name="School" localSheetId="7">'[4]Pick_list'!#REF!</definedName>
    <definedName name="School" localSheetId="8">'[4]Pick_list'!#REF!</definedName>
    <definedName name="School" localSheetId="22">'[2]Pick_list'!#REF!</definedName>
    <definedName name="School" localSheetId="13">'[4]Pick_list'!#REF!</definedName>
    <definedName name="School" localSheetId="14">'[4]Pick_list'!#REF!</definedName>
    <definedName name="School" localSheetId="12">'[4]Pick_list'!#REF!</definedName>
    <definedName name="School" localSheetId="16">'[4]Pick_list'!#REF!</definedName>
    <definedName name="School" localSheetId="15">'[4]Pick_list'!#REF!</definedName>
    <definedName name="School" localSheetId="20">'[4]Pick_list'!#REF!</definedName>
    <definedName name="School" localSheetId="18">'[4]Pick_list'!#REF!</definedName>
    <definedName name="School" localSheetId="19">'[4]Pick_list'!#REF!</definedName>
    <definedName name="School" localSheetId="17">'[4]Pick_list'!#REF!</definedName>
    <definedName name="School">'[1]Pick_list'!#REF!</definedName>
    <definedName name="School_P">'Pick_list'!#REF!</definedName>
    <definedName name="School_type_P">'Pick_list'!$C$23:$C$29</definedName>
    <definedName name="School_type_Paper">'Pick_list'!$E$2:$E$7</definedName>
    <definedName name="School_year_P">'[4]Pick_list'!$B$24:$B$54</definedName>
    <definedName name="skateboard_P">'[5]Pick List'!$C$15:$C$19</definedName>
    <definedName name="Spork_type_Paper">'Pick_list'!$C$2:$C$5</definedName>
    <definedName name="time_P">'Pick_list'!$C$34:$C$45</definedName>
    <definedName name="Tray_type_Paper">'Pick_list'!$A$2:$A$5</definedName>
    <definedName name="TrayFactors_Paper">'Pick_list'!$E$2:$G$4</definedName>
    <definedName name="utensils_P">'Pick_list'!$C$55:$C$61</definedName>
    <definedName name="Yes_no_P">'Pick_list'!$F$34:$F$35</definedName>
  </definedNames>
  <calcPr fullCalcOnLoad="1"/>
</workbook>
</file>

<file path=xl/comments22.xml><?xml version="1.0" encoding="utf-8"?>
<comments xmlns="http://schemas.openxmlformats.org/spreadsheetml/2006/main">
  <authors>
    <author>RPM Systems, Inc.</author>
    <author>System Administrator</author>
  </authors>
  <commentList>
    <comment ref="B163" authorId="0">
      <text>
        <r>
          <rPr>
            <sz val="8"/>
            <rFont val="Tahoma"/>
            <family val="2"/>
          </rPr>
          <t>Emission factors are based on lower heating values. They are sourced from IPCC, 1999, Vol. 2, Section  1, if not otherwise stated</t>
        </r>
      </text>
    </comment>
    <comment ref="B162" authorId="1">
      <text>
        <r>
          <rPr>
            <b/>
            <sz val="8"/>
            <rFont val="Tahoma"/>
            <family val="2"/>
          </rPr>
          <t>These are lower heating values sourced from American Petroleum Institute, 2001, if not otherwise indicated.</t>
        </r>
      </text>
    </comment>
  </commentList>
</comments>
</file>

<file path=xl/sharedStrings.xml><?xml version="1.0" encoding="utf-8"?>
<sst xmlns="http://schemas.openxmlformats.org/spreadsheetml/2006/main" count="1626" uniqueCount="1050">
  <si>
    <t>Most people purchase alkaline batteries.  However, you will see that using rechargeable batteries can save money and help the environment.</t>
  </si>
  <si>
    <t>Generally, there are two types of batteries in your home: alkaline (disposable) batteries, which are designed to be used once and discarded when they are exhausted, and rechargeable batteries, which are designed to be recharged and used multiple times.</t>
  </si>
  <si>
    <t xml:space="preserve">For more information on the RBRC program, see http://www.rbrc.org/call2recycle/.   </t>
  </si>
  <si>
    <t>California prohibits the disposal of rechargeable batteries in solid waste and requires all retailers that sell rechargeable batteries or cell phones to accept batteries for recycling through the Rechargeable Battery Recycling Corporation Program.</t>
  </si>
  <si>
    <t>In the US, the Mercury-Containing and Rechargeable Battery Management Act of 1996 banned the sale of mercury-containing batteries (except button cells), enacted labeling requirements for rechargeables, and required that rechargeables be easily removable.</t>
  </si>
  <si>
    <t>Various batteries (top-left to bottom-right): two AA, one D, one handheld ham radio battery, two 9-volt PP3, two AAA, one C, one camcorder battery, one cordless phone battery.</t>
  </si>
  <si>
    <t>If incinerated, these toxic chemicals can be released into the air.  Batteries are also considered corrosive; if they leak, they can cause burns to eyes and skin.  Recycling or proper disposal prevents dangerous toxic metals from entering the environment.</t>
  </si>
  <si>
    <t xml:space="preserve">Depending on the type, they can contain cadmium, mercury, cobalt, copper, zinc, lead, manganese, nickel, and/or lithium.  When improperly disposed, these heavy metals may leach from landfills, contaminate soil, and pollute surface water and groundwater. </t>
  </si>
  <si>
    <t xml:space="preserve">The widespread use of batteries has created many environmental concerns, such as toxic metal pollution.  </t>
  </si>
  <si>
    <t>Over 3 billion batteries are sold a year in the US, and about 179,000 tons of those end up in landfills across the country.  Household batteries power our flashlights, radios, watches, clocks, toys, and appliances.</t>
  </si>
  <si>
    <t>Battery Introduction</t>
  </si>
  <si>
    <t>http://michaelbluejay.com/batteries/</t>
  </si>
  <si>
    <t>** Self-discharge rate. How quickly the batteries lose their charge when unused. Discharge is usually faster at higher temperatures.</t>
  </si>
  <si>
    <t xml:space="preserve">* Recharge cycles. The number of times the battery can be recharged. Figures for Rechargeable Alkalines are from manufacturers' claims.  </t>
  </si>
  <si>
    <t>High capacity, but can't be recharged, and are toxic. Best choice for emergency devices that are not used for extended periods of time such as smoke detectors.</t>
  </si>
  <si>
    <t>Toxic, low capacity, high self-discharge rate.  Getting the most cycles out of NiCad's requires periodically draining the battery (or using a charger that does so).</t>
  </si>
  <si>
    <t>Good for everything except emergency flashlights &amp; smoke detectors.  Getting the most cycles out of NiMH requires shallow discharging (charging before the battery loses too much power).</t>
  </si>
  <si>
    <t>Fewer recharge cycles, and capacity drops after just a few charges.</t>
  </si>
  <si>
    <t>Inexpensive, high capacity, but can't be recharged like NiMH. Only reason to buy is for emergency devices that are not used for extended periods of time</t>
  </si>
  <si>
    <t>Notes</t>
  </si>
  <si>
    <t>$6.99 hi capacity</t>
  </si>
  <si>
    <t>$5.49 standard</t>
  </si>
  <si>
    <t>$3.00 - $3.60</t>
  </si>
  <si>
    <t>Estimated Price for 2 AA's</t>
  </si>
  <si>
    <t>N/A</t>
  </si>
  <si>
    <t>No</t>
  </si>
  <si>
    <t>Memory effect</t>
  </si>
  <si>
    <t>Very slow</t>
  </si>
  <si>
    <t>Fast (10% in 1st 24hrs, then 10%/mo.)</t>
  </si>
  <si>
    <t>Fast (25%/mo.)</t>
  </si>
  <si>
    <t>Slow</t>
  </si>
  <si>
    <t>Slow / up to 5 yrs. shelf</t>
  </si>
  <si>
    <t>Self-discharge rate **</t>
  </si>
  <si>
    <t>Yes</t>
  </si>
  <si>
    <t>Toxic (heavy metals)</t>
  </si>
  <si>
    <t>of times</t>
  </si>
  <si>
    <t>100's to 1000's</t>
  </si>
  <si>
    <t>100's to 1000 of times</t>
  </si>
  <si>
    <t>50-500 Accucell</t>
  </si>
  <si>
    <t>No</t>
  </si>
  <si>
    <t>Recharge cycles *</t>
  </si>
  <si>
    <t>Rechargeable?</t>
  </si>
  <si>
    <t>Special: Good</t>
  </si>
  <si>
    <t>Excellent</t>
  </si>
  <si>
    <t>Good</t>
  </si>
  <si>
    <t>Poor</t>
  </si>
  <si>
    <t>Standard: Poor</t>
  </si>
  <si>
    <t>Performance in high-drain devices (e.g., digital cameras)</t>
  </si>
  <si>
    <t>depends on brand</t>
  </si>
  <si>
    <t>not available in this size</t>
  </si>
  <si>
    <t>1800-4500</t>
  </si>
  <si>
    <t>2200-11000</t>
  </si>
  <si>
    <t>8000 at first</t>
  </si>
  <si>
    <t>Capacity in mAh (D)</t>
  </si>
  <si>
    <t>600-1000</t>
  </si>
  <si>
    <t>1300-2900</t>
  </si>
  <si>
    <t>2000 at first</t>
  </si>
  <si>
    <t>Capacity in mAh (AA)</t>
  </si>
  <si>
    <t>High</t>
  </si>
  <si>
    <t>Low</t>
  </si>
  <si>
    <t>High at first, but less each cycle</t>
  </si>
  <si>
    <t>Capacity</t>
  </si>
  <si>
    <t>Volts</t>
  </si>
  <si>
    <t>Lithium</t>
  </si>
  <si>
    <t>Nickel-Cadmium (NiCad)</t>
  </si>
  <si>
    <t>Nickel-Metal Hydride (NiMH)</t>
  </si>
  <si>
    <t>Rechargeable Alkaline</t>
  </si>
  <si>
    <t>Alkaline</t>
  </si>
  <si>
    <t>Comparison of Different Types of Batteries</t>
  </si>
  <si>
    <t>Another drawback of both NiMH's and NiCad's is that they self-discharge quickly (~10-25%/month). Self-discharge means they lose power even if they're unused -- Each charge lasts about 2-3 months.</t>
  </si>
  <si>
    <t>A drawback shared by both NiCad's and NiMH's is that they provide less voltage than alkalines (1.2V instead of 1.5 V). That means appliances that require four or more batteries might not even work at all with NiCad's or NiMH's.</t>
  </si>
  <si>
    <t>Unlike alkalines which lose their voltage steadily, NiMH batteries maintain most of their voltage over the whole charge.  Another drawback of both NiMH's and NiCad's is that they self-discharge quickly (~20-25%/month).</t>
  </si>
  <si>
    <t>Note that NiMH's come in different capacities; for example, one D-cell might be 2200mAh while another is 8000mAh. So always check the label to see the capacity.</t>
  </si>
  <si>
    <t>Nickel Metal Hydride's (NiMH) have replaced NiCad's as the rechargeable battery of choice, because they have a higher capacity than NiCad's and unlike NiCad's, NiMH's contain no toxic metals and have no special disposal requirements.</t>
  </si>
  <si>
    <t>Another drawback of NiCad batteries is that they should be fully discharged before recharge.  Otherwise, recharging will decrease battery capacity due to what is called the "memory effect".</t>
  </si>
  <si>
    <t>NiCad's and NiMH batteries are not the best choice for emergency flashlights (use alkaline instead) or smoke detectors (use lithium -- lasts 7-10 years).</t>
  </si>
  <si>
    <t>Nickel Cadmium (NiCad's) are obsolete rechargeables.  NiCad's don't last very long before needing a recharge. They typically have 50 to 67% less capacity than alkalines and NiMH's.</t>
  </si>
  <si>
    <t xml:space="preserve">Also, you can't use RA's in high-drain devices like digital cameras.  The only case that might warrant the use of a RA is when your device is used infrequently (like a flashlight). </t>
  </si>
  <si>
    <t>However, RA's get far fewer recharge cycles than other rechargeable batteries (NiMH), and their capacity drops every time you charge them. After as few as eight cycles, an RA could have half the capacity of a new RA.</t>
  </si>
  <si>
    <t>Rechargeable Alkalines (RA's) were designed to be the best of both worlds -- the high capacity of an alkaline, combined with the rechargeability of a NiCad.</t>
  </si>
  <si>
    <t>Alkalines formerly contained mercury, a toxic metal, but Congress banned mercury from household batteries in 1996. The exception is button batteries that are found in watches and calculators.</t>
  </si>
  <si>
    <t>This is known as the "self discharge" rate.  Self-discharge means they lose power even if they're unused.  Alkalines lose their voltage gradually -- as opposed to rechargeables that lose their charge in two to three months.</t>
  </si>
  <si>
    <t>There's not much difference in capacity from brand to brand, as long as you're comparing the same type of battery.  Alkaline batteries can lose 8 to 20 percent of their original charge every year at a temperature of about 20°–30°C.</t>
  </si>
  <si>
    <t>Standard alkaline don't work well in high-drain devices (like digital cameras), because they're not good at providing a lot of power quickly. Alkaline batteries will still work in these devices, but the battery life will be very short.</t>
  </si>
  <si>
    <t xml:space="preserve">Alkaline (disposable) batteries are the most common type of household battery. Alkaline batteries became popular in the 1970's.  Alkaline have a lot of power and are inexpensive, but they usually can't be recharged.  </t>
  </si>
  <si>
    <t xml:space="preserve">Most Common Battery Options:  </t>
  </si>
  <si>
    <t>temp</t>
  </si>
  <si>
    <t>Boom Box remote control</t>
  </si>
  <si>
    <t>TV remote control</t>
  </si>
  <si>
    <t>Portable Boom Box</t>
  </si>
  <si>
    <t>radio control car</t>
  </si>
  <si>
    <t>flashlight</t>
  </si>
  <si>
    <t>How long does battery last? (weeks)</t>
  </si>
  <si>
    <t>D</t>
  </si>
  <si>
    <t>C</t>
  </si>
  <si>
    <t>AA</t>
  </si>
  <si>
    <t>AAA</t>
  </si>
  <si>
    <t>Device</t>
  </si>
  <si>
    <t>Alkaline (disposable)</t>
  </si>
  <si>
    <t>This worksheet logs how many and what kind of batteries you use in the classroom. The purpose of this worksheet is to compare the environmental impact of switching from alkaline to rechargable batteries.</t>
  </si>
  <si>
    <t>Classroom Battery Log</t>
  </si>
  <si>
    <t>Classroom Total</t>
  </si>
  <si>
    <t>Total CO2e (lbs)</t>
  </si>
  <si>
    <t>NO2(lbs)</t>
  </si>
  <si>
    <t>CH4 (lbs)</t>
  </si>
  <si>
    <t>CO2 (lbs)</t>
  </si>
  <si>
    <t>Equivalent miles driven if used NiMH Rechargable Batteries</t>
  </si>
  <si>
    <t>Cost of charging batteries</t>
  </si>
  <si>
    <t>Cost of Batteries for school year</t>
  </si>
  <si>
    <t>Equivalent lbs petroleum extracted</t>
  </si>
  <si>
    <t>Equivalent miles driven in school year</t>
  </si>
  <si>
    <t>total Kwh used in school year</t>
  </si>
  <si>
    <t>How long does battery last? (weeks)</t>
  </si>
  <si>
    <t>NiMH Rechargable Battery - Emissions from School Year</t>
  </si>
  <si>
    <t>Number of Charges</t>
  </si>
  <si>
    <t>Number of Rechargable Batteries</t>
  </si>
  <si>
    <t>Emissions from School Year</t>
  </si>
  <si>
    <t>Estimated Number of batteries used in school year</t>
  </si>
  <si>
    <t>* School &amp; School District estimate assumed each classroom has a battery charger.</t>
  </si>
  <si>
    <t>School District Estimate</t>
  </si>
  <si>
    <t>School Estimate</t>
  </si>
  <si>
    <t>Cost of Batteries for school year</t>
  </si>
  <si>
    <t>Equivalent Cars on the Road</t>
  </si>
  <si>
    <t>Total CO2e (tons)</t>
  </si>
  <si>
    <t xml:space="preserve">Total Cost (batteries, charging, charger) * </t>
  </si>
  <si>
    <t>*  Does not including cost of battery charger</t>
  </si>
  <si>
    <t>NiMH</t>
  </si>
  <si>
    <t>Cost of Rechargable Batteries for school year *</t>
  </si>
  <si>
    <t>Estimated Number of batteries used in school year</t>
  </si>
  <si>
    <t>Rechargable NiMH Batteries</t>
  </si>
  <si>
    <t>Disposable Alkaline Batteries</t>
  </si>
  <si>
    <t>This worksheet demonstrates the potential CO2e emissions avoided and cost savings if your classroom were to purchase and use rechargeable NiMH Batteries.</t>
  </si>
  <si>
    <t>Classroom Battery Log Findings</t>
  </si>
  <si>
    <t>30–52</t>
  </si>
  <si>
    <t>23–30</t>
  </si>
  <si>
    <t>18–25</t>
  </si>
  <si>
    <t>13–15</t>
  </si>
  <si>
    <t>9–13</t>
  </si>
  <si>
    <t>The lifetime of any lamp depends on many factors including operating voltage, manufacturing defects, exposure to voltage spikes, mechanical shock, frequency of cycling on and off, lamp orientation, and ambient operating temperature, among other factors. The life of a CFL is significantly shorter if it is turned on and off frequently. In the case of a 5-minute on/off cycle the lifespan of a CFL can be reduced to "close to that of incandescent light bulbs".[15] The US Energy Star program suggests that fluorescent lamps be left on when leaving a room for less than 15 minutes to mitigate this problem.</t>
  </si>
  <si>
    <t xml:space="preserve">The average rated life of a CFL is between 8 and 15 times that of incandescents.[11] CFLs typically have a rated lifespan of between 6,000 and 15,000 hours, whereas incandescent lamps are usually manufactured to have a lifespan of 750 hours or 1,000 hours.[12][13][14] </t>
  </si>
  <si>
    <t>Lifespan</t>
  </si>
  <si>
    <t>http://en.wikipedia.org/wiki/</t>
  </si>
  <si>
    <t xml:space="preserve">Global warming potential (in CO2 equivalents) of N2O: </t>
  </si>
  <si>
    <t>Global warming potential (in CO2 equivalents) of CH4:</t>
  </si>
  <si>
    <t>http://www.climateregistry.org/resources/docs/protocols/grp/GRP_3.1_January2009.pdf</t>
  </si>
  <si>
    <t>The Climate Registry</t>
  </si>
  <si>
    <t>Electricity</t>
  </si>
  <si>
    <t>lbs N20/MWh</t>
  </si>
  <si>
    <t>lbs CH4/MWh</t>
  </si>
  <si>
    <t>lbs CO2/MWh</t>
  </si>
  <si>
    <t>California (CAMX eGrid Subregion)</t>
  </si>
  <si>
    <t>units</t>
  </si>
  <si>
    <t>N2O</t>
  </si>
  <si>
    <t>CH4</t>
  </si>
  <si>
    <t>CO2</t>
  </si>
  <si>
    <t>Location</t>
  </si>
  <si>
    <t>Emission Factors per KWh</t>
  </si>
  <si>
    <t>http://www.energywisepa.org/why/mercury</t>
  </si>
  <si>
    <t>gallons of water are polluted beyond safe levels for drinking</t>
  </si>
  <si>
    <t>For every 1 mg of mercury (assuming 5 mg of mercury in one CFL)</t>
  </si>
  <si>
    <t>The Mercury from one fluorescent bulb can pollute 6,000 gallons of water beyond safe levels for drinking</t>
  </si>
  <si>
    <t>CFL mercury contents escapes to environment after land fill disposal.</t>
  </si>
  <si>
    <t>average mercury emissions (mg) per kWh of energy</t>
  </si>
  <si>
    <t>mg of mercury in 1 CFL</t>
  </si>
  <si>
    <t>Mercury emissions</t>
  </si>
  <si>
    <t>Average cost of 1 kWh</t>
  </si>
  <si>
    <t>Average lifespan of bulb is average of range provided in wikipedia</t>
  </si>
  <si>
    <t>CFL life</t>
  </si>
  <si>
    <t>Incandescent life</t>
  </si>
  <si>
    <t>Cost per bulb</t>
  </si>
  <si>
    <t>Life (hrs)</t>
  </si>
  <si>
    <t>GE brand, search on Amazon.com</t>
  </si>
  <si>
    <t>Cost</t>
  </si>
  <si>
    <t>CFL Watt Range</t>
  </si>
  <si>
    <t>Equivalent CFL (w)</t>
  </si>
  <si>
    <t>incandescent (w)</t>
  </si>
  <si>
    <t>Total U.S. residential electricity used is 1,379 billion kWh divided by 115 million households at 3,412 Btu per kWh</t>
  </si>
  <si>
    <t>Total electricity used by one average U.S. household in 2008</t>
  </si>
  <si>
    <t>Garage studio lamp #2</t>
  </si>
  <si>
    <t>Garage studio</t>
  </si>
  <si>
    <t>bathroom lamp</t>
  </si>
  <si>
    <t>Bobby bedroom lamp</t>
  </si>
  <si>
    <t>suzie bedroom lamp</t>
  </si>
  <si>
    <t>parent bedroom lamp</t>
  </si>
  <si>
    <t>Kitchen lamp</t>
  </si>
  <si>
    <t>living room table lamp #2</t>
  </si>
  <si>
    <t>living room table lamp</t>
  </si>
  <si>
    <t>Hours 'on' each day</t>
  </si>
  <si>
    <t>Watt of Bulb</t>
  </si>
  <si>
    <t>Lamp Description</t>
  </si>
  <si>
    <t>When filling in the log below, please do not log any outdoor light bulbs.  We are only interested in indoor incandescent light bulbs.</t>
  </si>
  <si>
    <t>The purpose of this worksheet is to compare the environmental impact of switching from incandescent to fluorescent light bulbs.</t>
  </si>
  <si>
    <t>Does your household still use incandescent light bulbs?  This worksheet logs how many of your home light fixtures still use incandescent light bulbs.</t>
  </si>
  <si>
    <t>Home Lighting Log</t>
  </si>
  <si>
    <t>4.      Reduce dependence on fossil fuels. Burning fossil fuels emits mercury into the atmosphere; reduction in use of fossil fuels will lead to less release of mercury in the environment.</t>
  </si>
  <si>
    <t>3.      Eat fish safely. Read the State Advisory on the recommended dosage of fish per month and use the seafood watch.org &lt;http://www.mbayaq.org/cr/cr_seafoodwatch/download.asp &gt; list when shopping for fish.</t>
  </si>
  <si>
    <t>Phillip’s ALTO, GE’s Ecologic and Sylvania’s Ecolux are low-mercury lines.</t>
  </si>
  <si>
    <t>Older fluorescent lamps contain up to 60 mg of mercury per 4-foot fluorescent tube, but the mercury content of the newly available “eco-lines” ranges from 3.5 mg (Phillips) to 8.5-10mg (Phillips and GE) for the same size lamp.</t>
  </si>
  <si>
    <t xml:space="preserve">However, recent advances in the lighting industry have made lower mercury versions of fluorescents, compact fluorescents, and high intensity discharge lamps readily available.  </t>
  </si>
  <si>
    <t xml:space="preserve">2.      Buy Low mercury fluorescent lamps. Fluorescent and high intensity discharge lamps, used in many areas, contain mercury. Mercury is a necessary part of the technology to achieve the greater energy efficiency and light output of these lamp types. </t>
  </si>
  <si>
    <t>1.      Recycle all mercury containing products safely.</t>
  </si>
  <si>
    <t>What you can do to reduce mercury</t>
  </si>
  <si>
    <t>Exposure to mercury in its many forms can cause a string of harmful health effects, including ginvigitis, blindness, paralysis, birth defects, and neurological and muscular disorders.</t>
  </si>
  <si>
    <t>This process, known as bioaccumulation, means the animals highest up on the food chain end up with the highest levels of the methylmercury in their bodies.  Methylmercury can be found in both saltwater and freshwater fish.</t>
  </si>
  <si>
    <t>Small fish feed on the microorganisms resulting in methylmercury accumulating in their bodies. Larger fish in turn feed on smaller fish, ingesting the methylmercury.  People and animals that eat these fish also become exposed to the methylmercury.</t>
  </si>
  <si>
    <r>
      <t xml:space="preserve">Although all forms of mercury are hazardous to human health, wildlife and the environment, methylmercury is considered the most toxic form. </t>
    </r>
    <r>
      <rPr>
        <b/>
        <sz val="10"/>
        <rFont val="Arial"/>
        <family val="2"/>
      </rPr>
      <t xml:space="preserve"> </t>
    </r>
    <r>
      <rPr>
        <sz val="10"/>
        <rFont val="Arial"/>
        <family val="2"/>
      </rPr>
      <t>When mercury gets into the water, certain microorganisms convert some of it into methylmercury.</t>
    </r>
  </si>
  <si>
    <t>The remaining sources of mercury pollution come from improper management of products like mercury thermometers, fluorescent lights (including compact fluorescent bulbs), and mercury-containing switches in cars, washing machines, and other equipment.</t>
  </si>
  <si>
    <t>Many of these streams flow into the San Francisco Bay, and in the water, the mercury is transformed into methylmercury, the form of mercury found in contaminated fish.</t>
  </si>
  <si>
    <t>Although the technique is no longer used in the U.S. and most of the mines closed at the end of the Gold Rush, the mercury that entered the soil near these operations still leaches into our waterways.</t>
  </si>
  <si>
    <t>Most of the mercury pollution in the San Francisco Bay comes from old gold mines. For hundreds of years, mercury was used in gold mining to separate the valuable mineral from the raw ore.</t>
  </si>
  <si>
    <t>It required all alkaline batteries (except button cells) sold after that date to contain no intentionally added mercury.</t>
  </si>
  <si>
    <t>Some batteries may also contain mercury, especially if they were manufactured before 1997. In May 1996, the Federal Battery Bill was signed.</t>
  </si>
  <si>
    <t>Today it can be found in pesticides, dental amalgam fillings, electrical switches, fluorescent lamps, thermometers, vintage toys and games, and some topical medicines.</t>
  </si>
  <si>
    <t>So, mercury has been used for thousands of years as a wood preservative, as a silvering agent in mirrors, and as an ingredient in cosmetics and paints.</t>
  </si>
  <si>
    <t>Mercury is a toxic metal that occurs naturally in the earth's crust. It has unique chemical and physical properties, including the fact that it's a liquid at room temperature.</t>
  </si>
  <si>
    <t>Mercury and Human Health</t>
  </si>
  <si>
    <t>1st Year Cost</t>
  </si>
  <si>
    <t>Yearly Cost</t>
  </si>
  <si>
    <t>Yearly CO2e (lbs)</t>
  </si>
  <si>
    <t>Yearly Mercury (mg)</t>
  </si>
  <si>
    <t>Avoided</t>
  </si>
  <si>
    <t>CFL</t>
  </si>
  <si>
    <t>Incandescent</t>
  </si>
  <si>
    <t>% of average household energy consumption</t>
  </si>
  <si>
    <t>bath tubs</t>
  </si>
  <si>
    <t>yearly Total</t>
  </si>
  <si>
    <t>Daily Total</t>
  </si>
  <si>
    <t>Initial cost of CFL</t>
  </si>
  <si>
    <t>Cost of CFL bulbs for one year</t>
  </si>
  <si>
    <t>Cost of kWh</t>
  </si>
  <si>
    <t>Water polluted beyond safe levels for drinking (g)</t>
  </si>
  <si>
    <t>Mercury release in landfills (mg) each year</t>
  </si>
  <si>
    <t>Mercury emissions from energy production (mg)</t>
  </si>
  <si>
    <t>kWh</t>
  </si>
  <si>
    <t>Watt equivalent CFL</t>
  </si>
  <si>
    <t>Cost of Incandescent Bulbs for one year</t>
  </si>
  <si>
    <t>Cost of Incandescent kWh</t>
  </si>
  <si>
    <t>Compact Fluorescent Lights</t>
  </si>
  <si>
    <t>Incandescent Light Bulbs</t>
  </si>
  <si>
    <t>Home Lighting Calculations</t>
  </si>
  <si>
    <t>CFL- average annual cost</t>
  </si>
  <si>
    <t>CFL- First Year Cost</t>
  </si>
  <si>
    <t>Savings</t>
  </si>
  <si>
    <t>Cost of Electricity</t>
  </si>
  <si>
    <t>Cost of Light Bulbs</t>
  </si>
  <si>
    <t>Initial Cost to Buy Bulbs</t>
  </si>
  <si>
    <t>Annual Cost</t>
  </si>
  <si>
    <t>Water polluted beyond safe levels for drinking (in bathtubs)</t>
  </si>
  <si>
    <t>Annual Total Mercury Emissions (mg)</t>
  </si>
  <si>
    <t>Avoided Emissions</t>
  </si>
  <si>
    <t>Annual Mercury release in landfills (mg)</t>
  </si>
  <si>
    <t>Annual Mercury emissions from energy production (mg)</t>
  </si>
  <si>
    <t xml:space="preserve">Milligrams of Mercury Emissions… What does it mean?  </t>
  </si>
  <si>
    <t>CFL</t>
  </si>
  <si>
    <t>Incandescent</t>
  </si>
  <si>
    <t>CO2e (lbs) before</t>
  </si>
  <si>
    <t>CO2e (lbs) after</t>
  </si>
  <si>
    <t>kWh before</t>
  </si>
  <si>
    <t>Energy Savings</t>
  </si>
  <si>
    <t>kWh after</t>
  </si>
  <si>
    <t>% reduction if change to CFL</t>
  </si>
  <si>
    <t>Savings</t>
  </si>
  <si>
    <t>Total Cost in First year</t>
  </si>
  <si>
    <t>Annual Cost of light bulbs</t>
  </si>
  <si>
    <t>Annual Cost of Electricity</t>
  </si>
  <si>
    <t>CO2e (lbs)</t>
  </si>
  <si>
    <t>Annual Comarison of home lighting options</t>
  </si>
  <si>
    <t>The US Energy Star program suggests that fluorescent lamps be left on when leaving a room for less than 15 minutes to prevent this problem.</t>
  </si>
  <si>
    <t>The life of a CFL is significantly shorter if it is turned on and off frequently. In the case of a 5-minute on/off cycle the lifespan of a CFL can be reduced to "close to that of incandescent light bulbs".</t>
  </si>
  <si>
    <t xml:space="preserve">This worksheet compares the energy used, CO2e emissions, Mercury released, and cost of using incandescent and compact fluorescent light bulbs in your home.  </t>
  </si>
  <si>
    <t>Home Lighting Findings</t>
  </si>
  <si>
    <t>gallons/min</t>
  </si>
  <si>
    <t>Water flow from faucet</t>
  </si>
  <si>
    <t>seconds</t>
  </si>
  <si>
    <t>Time to wash one set of dishes (plate, cup, and utensils)</t>
  </si>
  <si>
    <t>PS</t>
  </si>
  <si>
    <t>Disposable spoon</t>
  </si>
  <si>
    <t>Disposable knife</t>
  </si>
  <si>
    <t>Disposable fork</t>
  </si>
  <si>
    <t>Large size (16 liquid oz. per cup)</t>
  </si>
  <si>
    <t>Durable plastic cup</t>
  </si>
  <si>
    <t>Small size (8.5 liquid oz. per cup)</t>
  </si>
  <si>
    <t>Small size</t>
  </si>
  <si>
    <t>Small size (10 liquid oz. per cup)</t>
  </si>
  <si>
    <t>PETE</t>
  </si>
  <si>
    <t>Durable plastic plate</t>
  </si>
  <si>
    <t>Thick (Chinet brand)</t>
  </si>
  <si>
    <t>Thin, Ridged (Walgreens Brand)</t>
  </si>
  <si>
    <t>Price from Restockit.com</t>
  </si>
  <si>
    <t>Type of material</t>
  </si>
  <si>
    <t>Weight (ounce)</t>
  </si>
  <si>
    <t>PRODUCTION ONLY (per finished product with following materials) from above table</t>
  </si>
  <si>
    <t>Party Ware</t>
  </si>
  <si>
    <t>1 day</t>
  </si>
  <si>
    <t>Assumed weight of disposable bags (1 square zip lock, 2 snack size each day)</t>
  </si>
  <si>
    <t>weight multiple</t>
  </si>
  <si>
    <t>weight (gram)</t>
  </si>
  <si>
    <t>http://5gyres.org/</t>
  </si>
  <si>
    <t>For more information:</t>
  </si>
  <si>
    <t>Did you know that a lot of the plastic bag waste that we throw out does not end up in a landfill?  This is especially true of litter.  If litter goes down a storm drain inthe East Bay, it will be carried into a stream or into San Francisco Bay.  A large percentage of these plastics end up in our oceans.  They contribute to the starvation and death of many marine species that eat plastics by mistake, including birds, turtles, whales and fish.  There are also small bits of plastic floating around polluting our oceans.  They accumulate in some parts of the ocean.  One place with lots of this plastic is called the Eastern Pacific Garbage Patch.  It is midway between Hawaii and California.</t>
  </si>
  <si>
    <t>What do you think happens to the plastic bags, disposable packaging and plastic wrap?   Do they fall apart?  Do they rot?</t>
  </si>
  <si>
    <t xml:space="preserve">What happens to the garbage and litter that we throw away?  </t>
  </si>
  <si>
    <t xml:space="preserve">How does what you use and eat at lunch compare to what is found in your school yard?  Is the composition similar?  What is missing?  What kind of material did you find the most, in the school yard?  Why do you think that is? </t>
  </si>
  <si>
    <t>MORE DISCUSSION --</t>
  </si>
  <si>
    <t>% of total (by weight, no food)</t>
  </si>
  <si>
    <t>% of total (by weight)</t>
  </si>
  <si>
    <t>Total weight (ounces)</t>
  </si>
  <si>
    <t>Total</t>
  </si>
  <si>
    <t>other things</t>
  </si>
  <si>
    <t>fork, spoon, spork</t>
  </si>
  <si>
    <t>paper boats</t>
  </si>
  <si>
    <t>styrofoam trays</t>
  </si>
  <si>
    <t>paper napkins</t>
  </si>
  <si>
    <t>plastic wrap</t>
  </si>
  <si>
    <t>zip lock bags</t>
  </si>
  <si>
    <t>chip bags etc.</t>
  </si>
  <si>
    <t>straws</t>
  </si>
  <si>
    <t>milk cartons</t>
  </si>
  <si>
    <t>juice boxes</t>
  </si>
  <si>
    <t>food</t>
  </si>
  <si>
    <t>School yard litter log (all weights in ounces)</t>
  </si>
  <si>
    <t>About Your School</t>
  </si>
  <si>
    <t>Leave blank if unknown.</t>
  </si>
  <si>
    <t>Please fill in yellow highlighted areas.</t>
  </si>
  <si>
    <t>Note: Negative number indicates money saved.</t>
  </si>
  <si>
    <t>Estimate if unknown.</t>
  </si>
  <si>
    <t>Energy Saved (kWh)</t>
  </si>
  <si>
    <t>Emissions CO2 (lbs) Avoided</t>
  </si>
  <si>
    <t>Gallons of Oil Saved</t>
  </si>
  <si>
    <t>In other words, for every</t>
  </si>
  <si>
    <t>cans per day.</t>
  </si>
  <si>
    <t>Landfill Saved (cubic yards)</t>
  </si>
  <si>
    <t xml:space="preserve">This is equivalent to </t>
  </si>
  <si>
    <t>lbs of CO2 per year</t>
  </si>
  <si>
    <t xml:space="preserve">If reusable, how often do you replace it with a new one? </t>
  </si>
  <si>
    <t>Do you bring your lunch (Y/N). Default = N</t>
  </si>
  <si>
    <t># Students</t>
  </si>
  <si>
    <t>One environmental factor is the release of mercury into the environment from both the production of electricity and the improper disposal of fluorescent lights.</t>
  </si>
  <si>
    <t>See the 'Mercury Facts' tab for more information about Mercury.</t>
  </si>
  <si>
    <t>Ranges</t>
  </si>
  <si>
    <t>Number of students enrolled at your school.</t>
  </si>
  <si>
    <t>Number of students enrolled in your entire school district.</t>
  </si>
  <si>
    <t>Your school type.</t>
  </si>
  <si>
    <t>Number of students who use the classroom on an average basis.</t>
  </si>
  <si>
    <t>The "break-even threshold" (the point at which it makes sense to buy durable dishware, after looking at resources used to produce &amp; dispose of disposable dishware).</t>
  </si>
  <si>
    <t>Student01</t>
  </si>
  <si>
    <t>Student02</t>
  </si>
  <si>
    <t>Student03</t>
  </si>
  <si>
    <t>Student04</t>
  </si>
  <si>
    <t>Student05</t>
  </si>
  <si>
    <t>Student06</t>
  </si>
  <si>
    <t>Student07</t>
  </si>
  <si>
    <t>Student08</t>
  </si>
  <si>
    <t>Student09</t>
  </si>
  <si>
    <t>Student10</t>
  </si>
  <si>
    <t>Student11</t>
  </si>
  <si>
    <t>Student12</t>
  </si>
  <si>
    <t>Student13</t>
  </si>
  <si>
    <t>Student14</t>
  </si>
  <si>
    <t>Student15</t>
  </si>
  <si>
    <t>Student16</t>
  </si>
  <si>
    <t>Student17</t>
  </si>
  <si>
    <t>Student18</t>
  </si>
  <si>
    <t>Student19</t>
  </si>
  <si>
    <t>Student20</t>
  </si>
  <si>
    <t>Student21</t>
  </si>
  <si>
    <t>Student22</t>
  </si>
  <si>
    <t>Student23</t>
  </si>
  <si>
    <t>Student24</t>
  </si>
  <si>
    <t>Student25</t>
  </si>
  <si>
    <t>Student26</t>
  </si>
  <si>
    <t>Student27</t>
  </si>
  <si>
    <t>Student28</t>
  </si>
  <si>
    <t>Student29</t>
  </si>
  <si>
    <t>Student30</t>
  </si>
  <si>
    <t>Student31</t>
  </si>
  <si>
    <t>Student32</t>
  </si>
  <si>
    <t>Student33</t>
  </si>
  <si>
    <t>Student34</t>
  </si>
  <si>
    <t>Student35</t>
  </si>
  <si>
    <t>Student36</t>
  </si>
  <si>
    <t>5. Take care to clean up after CFL light breakage. More information here:</t>
  </si>
  <si>
    <t>http://www.epa.gov/cfl/cflcleanup.html</t>
  </si>
  <si>
    <t>Note: positive numbers indicate resources saved</t>
  </si>
  <si>
    <t>2. Lunch Tray Comparison</t>
  </si>
  <si>
    <t>1. Basic School Info</t>
  </si>
  <si>
    <t>4. Aluminum Can Recycling</t>
  </si>
  <si>
    <t>3. White Paper Comparison</t>
  </si>
  <si>
    <t>5. Plastic Bottle Recycling</t>
  </si>
  <si>
    <t>6. Paper Recycling</t>
  </si>
  <si>
    <t>7. Battery Comparison</t>
  </si>
  <si>
    <t>8. Home Lighting Comparison</t>
  </si>
  <si>
    <t>10. Party Ware Comparison</t>
  </si>
  <si>
    <t>9. Waste Comparison</t>
  </si>
  <si>
    <t>coated grounwood</t>
  </si>
  <si>
    <t>EPS</t>
  </si>
  <si>
    <t>metal</t>
  </si>
  <si>
    <t>Metal fork*</t>
  </si>
  <si>
    <t>Metal knife*</t>
  </si>
  <si>
    <t>Metal spoon*</t>
  </si>
  <si>
    <t>Metal fork, knife, spoon*</t>
  </si>
  <si>
    <t>*C Chang estimate</t>
  </si>
  <si>
    <t>38 or 37?</t>
  </si>
  <si>
    <t>Schools Product Comparison Calculators</t>
  </si>
  <si>
    <t>If your whole school yard is too large, use a part of the yard that has some areas with litter and some areas without any litter.</t>
  </si>
  <si>
    <t xml:space="preserve">The next exercise involves collecting litter in your school yard, weighing it, and logging the weights in the table below. </t>
  </si>
  <si>
    <t>Is there litter in your school yard?  Is there someone who picks up the litter?  Who?  When?</t>
  </si>
  <si>
    <t>When somebody leaves a newspaper on the bus for other people to read, is that litter?</t>
  </si>
  <si>
    <t>When they drop the food wrapper on the sidewalk, is that litter?</t>
  </si>
  <si>
    <t>When somebody puts a food wrapper in a trash can, is that litter?</t>
  </si>
  <si>
    <t>What is litter?</t>
  </si>
  <si>
    <t>DISCUSSION --</t>
  </si>
  <si>
    <t>Grand Total</t>
  </si>
  <si>
    <t>Total Weight (ounces)</t>
  </si>
  <si>
    <t>Day 5</t>
  </si>
  <si>
    <t>Day 4</t>
  </si>
  <si>
    <t>Day 3</t>
  </si>
  <si>
    <t>Day 2</t>
  </si>
  <si>
    <t>Day 1</t>
  </si>
  <si>
    <t>Daily Total</t>
  </si>
  <si>
    <t>Lunch trash log (all weights in ounces)</t>
  </si>
  <si>
    <t>What if you have a small bag of potato chips, and the empty bag is so light the scale says "0" when you weigh it?  Should you get a better scale?  Should you weigh a bunch of those empty bags together?  If you weigh 12 of those bags and the weight is 2 ounces, what does one bag weigh?  What do 18 bags weigh?  23 bags?</t>
  </si>
  <si>
    <t>If you have 12 identical milk cartons, each with 8 ounces of milk inside, what does all the milk weigh?  If you weigh one of those cartons, full, and it weighs 10 ounces, what does the empty carton weigh?</t>
  </si>
  <si>
    <t xml:space="preserve">Before you start, decide on a STRATEGY for weighing things.  Some packages have a weight on the outside.  Is that the weight of the food inside, the package, or both?  </t>
  </si>
  <si>
    <t>You will need a weighing scale.  Please log all weights in the same units (ounces are best).  You will also need some paper to write down each weight and the category for each item.  You might need to have a "practice weighing" one day, then do the real weighings the following week.</t>
  </si>
  <si>
    <t>Your class will figure out the weights of all the inedibles and edibles in your lunches.  Since there are many different kinds of inedible things, you will add the weights in categories.  Then you will compare these results with the types of litter you find in the school yard.</t>
  </si>
  <si>
    <t xml:space="preserve">The purpose of this exercise is to compare your lunch trash to the litter in your school yard.  To start, you will log the weights of all the things you bring to school or receive at school for lunch.  Everybody's lunch has two kinds of things in it: edibles (things you can eat, like potato chips), and inedibles (things you can't eat, like a potato chip bag or an orange peel).  </t>
  </si>
  <si>
    <t>Lunchtime Trash and Schoolyard Litter Comparison</t>
  </si>
  <si>
    <t>n</t>
  </si>
  <si>
    <t>once every other month</t>
  </si>
  <si>
    <t>Rubbermaid - 1.25 cups</t>
  </si>
  <si>
    <t>once every third month</t>
  </si>
  <si>
    <t>rubber maid - 14 oz cylinder</t>
  </si>
  <si>
    <t>y</t>
  </si>
  <si>
    <t>do not lose containers</t>
  </si>
  <si>
    <t>Laptop Lunch - water bottle</t>
  </si>
  <si>
    <t>Laptop Lunch - bento box</t>
  </si>
  <si>
    <t>zip lock plastic bag - snack size</t>
  </si>
  <si>
    <t>zip lock plastic bag - square</t>
  </si>
  <si>
    <t>Y</t>
  </si>
  <si>
    <t>once a semester</t>
  </si>
  <si>
    <t>Rubbermaid - 4 oz</t>
  </si>
  <si>
    <t>rubber maid - square for sandwich</t>
  </si>
  <si>
    <t xml:space="preserve">If reusable, how often do you lose the container? </t>
  </si>
  <si>
    <t>Container #4</t>
  </si>
  <si>
    <t>Container #3</t>
  </si>
  <si>
    <t>Container #2</t>
  </si>
  <si>
    <t>Container #1</t>
  </si>
  <si>
    <t>Do you bring your lunch (Y/N)</t>
  </si>
  <si>
    <t>Student name</t>
  </si>
  <si>
    <t>If you bring your lunch, choose the type of container (or bag) you use?</t>
  </si>
  <si>
    <t xml:space="preserve">This worksheet records the type of container you use to transport your lunch everyday.  Please select the closest product to what you use.  For example, if your sandwich is wrapped in saran wrap, please choose zip lock plastic bag option.  Or, if you use some kind of plastic tupperware, please choose the rubbermaid container option.  </t>
  </si>
  <si>
    <t>Y</t>
  </si>
  <si>
    <t>Additional Cost</t>
  </si>
  <si>
    <t>lbs</t>
  </si>
  <si>
    <t>General Conversions</t>
  </si>
  <si>
    <t>Emissions CO2 e (lbs)</t>
  </si>
  <si>
    <t>Product</t>
  </si>
  <si>
    <t>Cost per unit</t>
  </si>
  <si>
    <t>5 compartment trays - uncoated groundwood</t>
  </si>
  <si>
    <t>Speckeld boats - coated groundwood</t>
  </si>
  <si>
    <t>Brown Paper Boats - paperboard: uncoated unbleached kraft</t>
  </si>
  <si>
    <t>Brown Paper Boats 50% recycled - paperboard: uncoated unbleached kraft</t>
  </si>
  <si>
    <t>* The Paper Calculator includes an energy credit for energy that is created by burning paper – or the methane that decomposing paper creates – at the end of its life. The Net Energy takes the total amount of energy required to make the paper over its life</t>
  </si>
  <si>
    <t>Disposal 1 ton of following</t>
  </si>
  <si>
    <t>CO2 greenhouse gas emissions (tons)</t>
  </si>
  <si>
    <r>
      <t>PET plastic landfilled</t>
    </r>
    <r>
      <rPr>
        <sz val="10"/>
        <rFont val="Arial"/>
        <family val="0"/>
      </rPr>
      <t xml:space="preserve"> (expressed as "short" tons of CO2 emissions; additional assumptions were made to derive this factor).</t>
    </r>
  </si>
  <si>
    <r>
      <t>mixed organics landfilled</t>
    </r>
    <r>
      <rPr>
        <sz val="10"/>
        <rFont val="Arial"/>
        <family val="0"/>
      </rPr>
      <t xml:space="preserve"> (expressed as "short" tons of CO2 emissions; assuming LFG recovery for energy ).</t>
    </r>
  </si>
  <si>
    <r>
      <t>mixed organics composted</t>
    </r>
    <r>
      <rPr>
        <sz val="10"/>
        <rFont val="Arial"/>
        <family val="0"/>
      </rPr>
      <t xml:space="preserve"> (expressed as "short" tons of CO2 emissions; assuming LFG recovery for energy ).</t>
    </r>
  </si>
  <si>
    <r>
      <t>mixed paper landfilled</t>
    </r>
    <r>
      <rPr>
        <sz val="10"/>
        <rFont val="Arial"/>
        <family val="0"/>
      </rPr>
      <t xml:space="preserve"> (expressed as "short" tons of CO2 emissions; assuming LFG recovery for energy ).</t>
    </r>
  </si>
  <si>
    <r>
      <t>mixed paper recycled</t>
    </r>
    <r>
      <rPr>
        <sz val="10"/>
        <rFont val="Arial"/>
        <family val="0"/>
      </rPr>
      <t xml:space="preserve"> (expressed as "short" tons of CO2 emissions; assuming LFG recovery for energy ).</t>
    </r>
  </si>
  <si>
    <t>US Average grid emissions factor</t>
  </si>
  <si>
    <t>lbs CO2/kWh</t>
  </si>
  <si>
    <t>1 lb</t>
  </si>
  <si>
    <t>1 kg</t>
  </si>
  <si>
    <t>lb</t>
  </si>
  <si>
    <t>1 ounce</t>
  </si>
  <si>
    <t>1 gallon</t>
  </si>
  <si>
    <t>ounce</t>
  </si>
  <si>
    <t>1 MJ</t>
  </si>
  <si>
    <t>kWH</t>
  </si>
  <si>
    <t>PRODUCTION ONLY (per 1 lb of finished product with following materials)</t>
  </si>
  <si>
    <t>bagasse</t>
  </si>
  <si>
    <t>PP (from PlasticEurope source)</t>
  </si>
  <si>
    <t xml:space="preserve"> -- CO2 emissions EF = US Average emission factor for grid electricity, according to eGrid (eGrid2006 using 2004 data), is 1.363 lbs CO2 per kWh</t>
  </si>
  <si>
    <t>per lb of product</t>
  </si>
  <si>
    <t>Energy (kWh)*</t>
  </si>
  <si>
    <t>Emissions (CO2e, lbs)</t>
  </si>
  <si>
    <t>Wood (lbs)</t>
  </si>
  <si>
    <t>Copy paper - Virgin paper</t>
  </si>
  <si>
    <t>Copy Paper - 30% post consumer</t>
  </si>
  <si>
    <t>Copy Paper - 100% post consumer</t>
  </si>
  <si>
    <t>Spork Kit</t>
  </si>
  <si>
    <t>Energy (kWh)</t>
  </si>
  <si>
    <t>Water (gallons)</t>
  </si>
  <si>
    <t>g</t>
  </si>
  <si>
    <t>Middle School</t>
  </si>
  <si>
    <t>High School</t>
  </si>
  <si>
    <t>Fork PLA</t>
  </si>
  <si>
    <t>Trees</t>
  </si>
  <si>
    <t>EPS (styrofoam)</t>
  </si>
  <si>
    <t>PET or PETE</t>
  </si>
  <si>
    <t xml:space="preserve">HDPE  </t>
  </si>
  <si>
    <t>HDPE (blow molded bottles)</t>
  </si>
  <si>
    <t xml:space="preserve">PS </t>
  </si>
  <si>
    <t>Full LCA (source:Environmental Defense Fund) includes paper production and DISPOSAL</t>
  </si>
  <si>
    <t>Other Conversions</t>
  </si>
  <si>
    <t>school year</t>
  </si>
  <si>
    <t>days</t>
  </si>
  <si>
    <t>PLA (6)</t>
  </si>
  <si>
    <t>PLA (5)</t>
  </si>
  <si>
    <t>Foam 5 compartment tray</t>
  </si>
  <si>
    <t>Bagasse 5 compartment tray</t>
  </si>
  <si>
    <t xml:space="preserve"> -- Water data for petroleum-based plastics and PLA do not include product (e.g. clamshell) manufacturing</t>
  </si>
  <si>
    <t>NOTES:</t>
  </si>
  <si>
    <t>1 kWh</t>
  </si>
  <si>
    <t>BTU</t>
  </si>
  <si>
    <t>per case (10 reams)</t>
  </si>
  <si>
    <t>car</t>
  </si>
  <si>
    <t>Paper Boat 1 -FUSD</t>
  </si>
  <si>
    <t>Paper Boat 2 -FUSD</t>
  </si>
  <si>
    <t>Paper Tray</t>
  </si>
  <si>
    <r>
      <t>white office paper recycled</t>
    </r>
    <r>
      <rPr>
        <sz val="10"/>
        <rFont val="Arial"/>
        <family val="0"/>
      </rPr>
      <t xml:space="preserve"> (expressed as "short" tons of CO2 emissions; assuming LFG recovery for energy ).</t>
    </r>
  </si>
  <si>
    <r>
      <t>white office paper landfilled</t>
    </r>
    <r>
      <rPr>
        <sz val="10"/>
        <rFont val="Arial"/>
        <family val="0"/>
      </rPr>
      <t xml:space="preserve"> (expressed as "short" tons of CO2 emissions; assuming LFG recovery for energy ).</t>
    </r>
  </si>
  <si>
    <t>Bagasse 6 compartment Tray - Albany</t>
  </si>
  <si>
    <t>Carry Out - OUSD</t>
  </si>
  <si>
    <t>Paper boat (2 lbs) - OUSD</t>
  </si>
  <si>
    <t>Paper boat (8 oz) - OUSD</t>
  </si>
  <si>
    <t>Paper napkin - Albany</t>
  </si>
  <si>
    <t>Paper Tray - FUSD</t>
  </si>
  <si>
    <t>Paper Boats - Albany</t>
  </si>
  <si>
    <t>Paperboard (SBS)</t>
  </si>
  <si>
    <t>Weight (g)</t>
  </si>
  <si>
    <t>assume similar weights as OUSD</t>
  </si>
  <si>
    <t>Paper boat (2.5 lbs)</t>
  </si>
  <si>
    <t>Dimensions</t>
  </si>
  <si>
    <t>4.75" x 3.125" x 2''</t>
  </si>
  <si>
    <t>5.375" x 3.375'' x 2''</t>
  </si>
  <si>
    <t>6.656'' x 3.75'' x 2.25''</t>
  </si>
  <si>
    <t>4.1875" x 2.875" x 1.75"</t>
  </si>
  <si>
    <t>3.375" x 2" x 1.0625"</t>
  </si>
  <si>
    <t>assume 3 lb paper boat due to cost</t>
  </si>
  <si>
    <t>100% recycled paper fiber 5 compartment tray</t>
  </si>
  <si>
    <t>8.5" x 10.5"</t>
  </si>
  <si>
    <t>huhtamaki</t>
  </si>
  <si>
    <t>100% recycled paper fiber 3 compartment tray</t>
  </si>
  <si>
    <t>8.25" x 9.5"</t>
  </si>
  <si>
    <t>Manufacturer.</t>
  </si>
  <si>
    <t>world centric</t>
  </si>
  <si>
    <t>dopaco</t>
  </si>
  <si>
    <t xml:space="preserve"> -- Bagasse figures from WorldCentric factories (2009, June). Worldcentric provided separate numbers for production of fiber to pulp and pulp to final tableware. </t>
  </si>
  <si>
    <t xml:space="preserve"> -- Energy data for PLA5, PP, and PET from: Detzel, Andreas, M. Kruger, July 2006. Life Cycle Assessment of Polylactide (PLA). A paper published by IFEU Heidelberg. Includes product manufacturing energy.</t>
  </si>
  <si>
    <t xml:space="preserve"> -- PLA 6 data from peer-reviewed article in Industrial Biotechnology, Volume 3, Number 1, 2007: Vink, E, D Glassner, J. Kolstad, R. Wooley, R. O'Connor, The eco-profiles for current and near-future NatureWorks polyactide (PLA) production.  This study fol</t>
  </si>
  <si>
    <t xml:space="preserve"> -- "Eco-profiles of the European Plastics Energy" by I. Boustead for PlasticsEurope; http://lca.plasticseurope.org/main2.htm.  Includes energy to produce resin, fresh water only (sea water excluded); For manufacturing energy, assumes same % premium repor</t>
  </si>
  <si>
    <t xml:space="preserve">1 ton of production Equates to </t>
  </si>
  <si>
    <t>Wood Use (tons)</t>
  </si>
  <si>
    <t>Net Energy( BTU)</t>
  </si>
  <si>
    <t>Purchased Energy</t>
  </si>
  <si>
    <t>Sulfur dioxide (SO2)</t>
  </si>
  <si>
    <t>Greenhouse Gases (lbs of CO2e)</t>
  </si>
  <si>
    <t>Nitrogen oxides (NOx)</t>
  </si>
  <si>
    <t>Particulates</t>
  </si>
  <si>
    <t>Hazardous Air Pollutants (HAP)</t>
  </si>
  <si>
    <t>Volatile Organic Compounds (VOCs)</t>
  </si>
  <si>
    <t>Total Reduced Sulfur (TRS)</t>
  </si>
  <si>
    <t>Wastewater (gallons)</t>
  </si>
  <si>
    <t>Biochemical Oxygen Demand (BOD)</t>
  </si>
  <si>
    <t>Total Suspended Solids (TSS)</t>
  </si>
  <si>
    <t>Chemical Oxygen Demand (COD)</t>
  </si>
  <si>
    <t>Adsorbable organic halogens (AOX)</t>
  </si>
  <si>
    <t>Solid Waste (lbs)</t>
  </si>
  <si>
    <t>copy paper virgin</t>
  </si>
  <si>
    <t>20 million BTU's</t>
  </si>
  <si>
    <t>25 pounds</t>
  </si>
  <si>
    <t>9 pounds</t>
  </si>
  <si>
    <t>5 pounds</t>
  </si>
  <si>
    <t>3 pounds</t>
  </si>
  <si>
    <t>&lt;1 pounds</t>
  </si>
  <si>
    <t>7 pounds</t>
  </si>
  <si>
    <t>21 pounds</t>
  </si>
  <si>
    <t>20 pounds</t>
  </si>
  <si>
    <t>copy paper 30% recycled</t>
  </si>
  <si>
    <t>2 pounds</t>
  </si>
  <si>
    <t>18 pounds</t>
  </si>
  <si>
    <t>22 pounds</t>
  </si>
  <si>
    <t>copy paper 100% recycled</t>
  </si>
  <si>
    <t>21 million BTU's</t>
  </si>
  <si>
    <t>24 pounds</t>
  </si>
  <si>
    <t>8 pounds</t>
  </si>
  <si>
    <t>1 pounds</t>
  </si>
  <si>
    <t>10 pounds</t>
  </si>
  <si>
    <t>29 pounds</t>
  </si>
  <si>
    <t>0 pounds</t>
  </si>
  <si>
    <t>30 million BTU's</t>
  </si>
  <si>
    <t>34 pounds</t>
  </si>
  <si>
    <t>12 pounds</t>
  </si>
  <si>
    <t>14 pounds</t>
  </si>
  <si>
    <t>27 million BTU's</t>
  </si>
  <si>
    <t>31 pounds</t>
  </si>
  <si>
    <t>11 pounds</t>
  </si>
  <si>
    <t>13 pounds</t>
  </si>
  <si>
    <t>17 million BTU's</t>
  </si>
  <si>
    <t>4 pounds</t>
  </si>
  <si>
    <t>22 million BTU's</t>
  </si>
  <si>
    <t>28 pounds</t>
  </si>
  <si>
    <t>6 pounds</t>
  </si>
  <si>
    <t>EDF paper calculator run on  9/29/09</t>
  </si>
  <si>
    <t>The Paper Calculator is based on research done by the Paper Task Force, a peer-reviewed study of the lifecycle environmental impacts of paper production and disposal.  The results in this table are from running the calculator on 9/29/09</t>
  </si>
  <si>
    <t>WARM model assumptions: LF gas recovery (gas to energy production), 50 mile transport of all materials</t>
  </si>
  <si>
    <t>White 20 lb case of copy paper</t>
  </si>
  <si>
    <t>White Copy Paper (20lb)- Virgin</t>
  </si>
  <si>
    <t>White Copy Paper (20lbs) -                    30% Post Consumer</t>
  </si>
  <si>
    <t>White Copy Paper (20lbs)-                      100% Post Consumer</t>
  </si>
  <si>
    <t>Energy Related Emissions (CO2, lbs)</t>
  </si>
  <si>
    <t>Weeks in school year</t>
  </si>
  <si>
    <t>weeks</t>
  </si>
  <si>
    <t>PET Bottle &amp; Aluminum Can Recycling</t>
  </si>
  <si>
    <t>1 lbs</t>
  </si>
  <si>
    <t>PET bottles</t>
  </si>
  <si>
    <t>aluminum cans</t>
  </si>
  <si>
    <t>1 lb of recycled PET bottles</t>
  </si>
  <si>
    <t>1 ton of PET bottles recycled</t>
  </si>
  <si>
    <t>cu yards in landfill</t>
  </si>
  <si>
    <t>1 aluminum can can power a television for</t>
  </si>
  <si>
    <t>hrs</t>
  </si>
  <si>
    <t xml:space="preserve">1 kWh is equivalent to running a television </t>
  </si>
  <si>
    <t>1 ton of aluminum cans saves</t>
  </si>
  <si>
    <t>kwh</t>
  </si>
  <si>
    <t>gallons of oil</t>
  </si>
  <si>
    <t>Density Assumptions - loose stacked, no voids</t>
  </si>
  <si>
    <t>Mixed Recyclables</t>
  </si>
  <si>
    <t>lbs/cuyd</t>
  </si>
  <si>
    <t>organics</t>
  </si>
  <si>
    <t>garbage</t>
  </si>
  <si>
    <t>Mixed Recyclables Density</t>
  </si>
  <si>
    <t>Loosely stacked, no voids:</t>
  </si>
  <si>
    <t>lb/cubic yard</t>
  </si>
  <si>
    <t>Average fullness of container:</t>
  </si>
  <si>
    <t>Void-space within container:</t>
  </si>
  <si>
    <t>Effective density:</t>
  </si>
  <si>
    <t>Organic Density</t>
  </si>
  <si>
    <t>Garbage Density</t>
  </si>
  <si>
    <t>Composition of Waste Stream</t>
  </si>
  <si>
    <t>Material Type</t>
  </si>
  <si>
    <t>% of Entire waste stream</t>
  </si>
  <si>
    <t>% of recyclable waste stream</t>
  </si>
  <si>
    <t>% of Mixed paper</t>
  </si>
  <si>
    <t>Magazine</t>
  </si>
  <si>
    <t>Office paper</t>
  </si>
  <si>
    <t>Mixed Paper</t>
  </si>
  <si>
    <t>glass</t>
  </si>
  <si>
    <t>Mixed metals</t>
  </si>
  <si>
    <t>Mixed Plastic</t>
  </si>
  <si>
    <t>Organics</t>
  </si>
  <si>
    <t>other</t>
  </si>
  <si>
    <t>recyclable</t>
  </si>
  <si>
    <t>http://www.ciwmb.ca.gov/Schools/WasteReduce/Composition.htm</t>
  </si>
  <si>
    <t>Generation Equations</t>
  </si>
  <si>
    <t>Trays - Elementary</t>
  </si>
  <si>
    <t>y = 0.84x + 58</t>
  </si>
  <si>
    <t>Trays - Middle</t>
  </si>
  <si>
    <t>y = 0.16x +158</t>
  </si>
  <si>
    <t>Trays - High School</t>
  </si>
  <si>
    <t>y = 0.2x + 74</t>
  </si>
  <si>
    <t>Copy Paper</t>
  </si>
  <si>
    <t>y = 0.01x - 0.2</t>
  </si>
  <si>
    <t>1 ton of paper</t>
  </si>
  <si>
    <t>trees</t>
  </si>
  <si>
    <t xml:space="preserve">Multiplier for cars off the road for a year                (per ton of CO2 e)*  </t>
  </si>
  <si>
    <t xml:space="preserve"> </t>
  </si>
  <si>
    <t>Carbon Offset</t>
  </si>
  <si>
    <t>per lb</t>
  </si>
  <si>
    <t>http://www.terrapass.com/carbon-footprint-calculator/action</t>
  </si>
  <si>
    <t>* based on 216,000 passenger cars not driven for one year for every million metric tons of CO2e avoided http://www.climatechange.ca.gov/newsroom/mmt_equivalent.html</t>
  </si>
  <si>
    <t>Action</t>
  </si>
  <si>
    <t>Date</t>
  </si>
  <si>
    <t>cu yd</t>
  </si>
  <si>
    <t>cu inches</t>
  </si>
  <si>
    <t>volume of 500 trays loose (not stacked)</t>
  </si>
  <si>
    <t>Waste Disposal Savings assuming current food tray is dumped into garbage</t>
  </si>
  <si>
    <t xml:space="preserve">COST OF TRAYS - for one school year        </t>
  </si>
  <si>
    <t>Positive numbers indicate resources saved</t>
  </si>
  <si>
    <t>to</t>
  </si>
  <si>
    <t>Savings in resources used if switch from</t>
  </si>
  <si>
    <t>TOTAL RESOURCES SAVED (including manufacturing &amp; disposal) if switch from</t>
  </si>
  <si>
    <r>
      <t xml:space="preserve">Savings in resources used if switch from                    </t>
    </r>
    <r>
      <rPr>
        <sz val="10"/>
        <rFont val="Arial"/>
        <family val="2"/>
      </rPr>
      <t>(Positive number indicates resources saved)</t>
    </r>
  </si>
  <si>
    <t>lbs of CO2 equivalent emissions generated if compost paper boats</t>
  </si>
  <si>
    <t>lbs of CO2 equivalent emissions generated if compost bagasse trays</t>
  </si>
  <si>
    <t>lbs of CO2 equivalent emissions generated if compost paper trays</t>
  </si>
  <si>
    <t>lbs of CO2 equivalent emissions generated if landfill foam trays</t>
  </si>
  <si>
    <t>Emissions CO2 equivalence (lbs)</t>
  </si>
  <si>
    <t>DISPOSAL</t>
  </si>
  <si>
    <t>Emissions CO2 (lbs)</t>
  </si>
  <si>
    <r>
      <t xml:space="preserve">Savings in resources used if switch from           </t>
    </r>
    <r>
      <rPr>
        <sz val="10"/>
        <rFont val="Arial"/>
        <family val="2"/>
      </rPr>
      <t>(Positive numbers indicate resources saved)</t>
    </r>
  </si>
  <si>
    <t>Resources Used to manufacture paper boats</t>
  </si>
  <si>
    <t>Resources Used to manufacture bagasse trays</t>
  </si>
  <si>
    <t>Resources Used to manufacture paper trays</t>
  </si>
  <si>
    <t>Resources Used to manufacture foam trays</t>
  </si>
  <si>
    <t>MANUFACTURING</t>
  </si>
  <si>
    <t>Total weight of paper boats (3lb)</t>
  </si>
  <si>
    <t>Total weight of bagasse trays (5 compartment)</t>
  </si>
  <si>
    <t>Total weight of paper trays (3 compartment)</t>
  </si>
  <si>
    <t>Total weight of foam trays (5 compartment)</t>
  </si>
  <si>
    <t>Number of trays used each year</t>
  </si>
  <si>
    <t>Bagasse Tray</t>
  </si>
  <si>
    <t>Alternative Scenario                                             (please choose bagasse tray, foam tray, paper boat)</t>
  </si>
  <si>
    <t>Foam Tray</t>
  </si>
  <si>
    <t>Type of tray currently used (bagasse, paper, foam)</t>
  </si>
  <si>
    <t>How many trays does your school use each day?</t>
  </si>
  <si>
    <t>If x = student enrollment, then y = the number of lunch trays used at your school each day.</t>
  </si>
  <si>
    <t>Use this formula to calculate that number for your school.</t>
  </si>
  <si>
    <r>
      <t xml:space="preserve">Below is a formula, in </t>
    </r>
    <r>
      <rPr>
        <b/>
        <sz val="10"/>
        <color indexed="17"/>
        <rFont val="Arial"/>
        <family val="2"/>
      </rPr>
      <t>green</t>
    </r>
    <r>
      <rPr>
        <sz val="10"/>
        <rFont val="Arial"/>
        <family val="2"/>
      </rPr>
      <t>, that estimates the average number of lunch trays your school uses each day.</t>
    </r>
  </si>
  <si>
    <t>How many students are enrolled at your school?</t>
  </si>
  <si>
    <t>High school</t>
  </si>
  <si>
    <t>Is your school an elementary, middle, or high school?</t>
  </si>
  <si>
    <t>Please fill in yellow highlighted areas</t>
  </si>
  <si>
    <t>Lunch Tray Comparison</t>
  </si>
  <si>
    <t>APPROXIMATE COST OF PAPER - for one school year</t>
  </si>
  <si>
    <t>Resources Used to manufacture 100% recycled content white copy paper</t>
  </si>
  <si>
    <t>Resources Used to manufacture 30% recycled content copy paper</t>
  </si>
  <si>
    <t>Resources Used to manufacture virgin paper</t>
  </si>
  <si>
    <t>MANUFACTURING &amp; DISPOSAL</t>
  </si>
  <si>
    <t>Total weight of copy paper used in school year</t>
  </si>
  <si>
    <t>cases</t>
  </si>
  <si>
    <t>Equivalent cases of white copy paper (10 reams with 500 sheets in each case)</t>
  </si>
  <si>
    <t>sheets</t>
  </si>
  <si>
    <t>Sheets of white paper used in a school year</t>
  </si>
  <si>
    <t>Sheets of white paper used in a school year by each student</t>
  </si>
  <si>
    <t>100% recycled content</t>
  </si>
  <si>
    <t xml:space="preserve">Alternative copy paper?  (Please choose, 30% recycled </t>
  </si>
  <si>
    <t>Virgin</t>
  </si>
  <si>
    <t>Type of white copy paper currently used?</t>
  </si>
  <si>
    <t>How many sheets of white copy paper does each student use each day?</t>
  </si>
  <si>
    <t>If x = student enrollment, then y = the number of sheets of white copy paper used by each student at your school each day.</t>
  </si>
  <si>
    <t>Middle school</t>
  </si>
  <si>
    <t>White Copy Paper Comparison</t>
  </si>
  <si>
    <t>years (24 hours a day)</t>
  </si>
  <si>
    <t xml:space="preserve">Enough energy to power a television for </t>
  </si>
  <si>
    <t>RECYCLING EMPTY CANS</t>
  </si>
  <si>
    <t>pounds</t>
  </si>
  <si>
    <t xml:space="preserve">which is equivalent to </t>
  </si>
  <si>
    <t>cans</t>
  </si>
  <si>
    <t>In the school year, your school throws out</t>
  </si>
  <si>
    <t>Estimated</t>
  </si>
  <si>
    <t xml:space="preserve">OR each student throws out </t>
  </si>
  <si>
    <t>students, 1 can is thrown out</t>
  </si>
  <si>
    <t>Another words, for every</t>
  </si>
  <si>
    <t>At the end of the day, count the number of cans found in the garbage</t>
  </si>
  <si>
    <t xml:space="preserve">Actual: </t>
  </si>
  <si>
    <t>cans thrown out/day</t>
  </si>
  <si>
    <t>How many aluminum cans does each student throw out each day? (For example, 0.25 cans, means that one can is thrown out for every four students)</t>
  </si>
  <si>
    <t>Estimate:</t>
  </si>
  <si>
    <t>How many cans does your school throw out each day?</t>
  </si>
  <si>
    <t>Aluminum Can Recycling</t>
  </si>
  <si>
    <t>RECYCLING EMPTY PLASTIC BOTTLES</t>
  </si>
  <si>
    <t>plastic bottles</t>
  </si>
  <si>
    <t>At the end of the day, count the number of plastic bottles found in the garbage</t>
  </si>
  <si>
    <t>plastic bottles thrown out/day</t>
  </si>
  <si>
    <t>Equals:</t>
  </si>
  <si>
    <t>How many plastic bottles does each student throw out each day? (For example, 0.25 plastic bottles, means that one plastic bottle is thrown out for every four students)</t>
  </si>
  <si>
    <t>How many plastic bottles does your school throw out each day?</t>
  </si>
  <si>
    <t>Plastic Bottle Recycling</t>
  </si>
  <si>
    <t>Avoided CO2 e emissions from recycling (as opposed to landfilling)</t>
  </si>
  <si>
    <t>lbs of mixed paper</t>
  </si>
  <si>
    <t xml:space="preserve">In the school year, your school recycles </t>
  </si>
  <si>
    <t>Actual</t>
  </si>
  <si>
    <t>lbs of mixed paper recycled each week</t>
  </si>
  <si>
    <t>cubic yards of recyclables each week</t>
  </si>
  <si>
    <t>The night before recycling is collected by the recycling company, how full are the bins?</t>
  </si>
  <si>
    <t xml:space="preserve">How often is it collected each week? </t>
  </si>
  <si>
    <t>What size is the school container for recycling in cubic yards? (One 96 gallon cart is 0.5 cubic yards and one 64 gallon cart is 0.32 cubic yards)</t>
  </si>
  <si>
    <t>lbs of mixed paper recycled out each day</t>
  </si>
  <si>
    <t>sheets of paper thrown out/day</t>
  </si>
  <si>
    <t>How many sheets of paper does each student recycle each day?</t>
  </si>
  <si>
    <t>How many sheets of paper (all types of paper) does your school recycle each day?</t>
  </si>
  <si>
    <t>Paper Recycling</t>
  </si>
  <si>
    <t>% Full</t>
  </si>
  <si>
    <t>Collection</t>
  </si>
  <si>
    <t>Bin Size</t>
  </si>
  <si>
    <t>Assumption</t>
  </si>
  <si>
    <t>30% recycled content</t>
  </si>
  <si>
    <t>PLA</t>
  </si>
  <si>
    <t>Elementary</t>
  </si>
  <si>
    <t>Plastic</t>
  </si>
  <si>
    <t>Paper Boat</t>
  </si>
  <si>
    <t>type of School</t>
  </si>
  <si>
    <t>Paper Type</t>
  </si>
  <si>
    <t>Type of Spork Material</t>
  </si>
  <si>
    <t>Alternative</t>
  </si>
  <si>
    <t>Tray Type</t>
  </si>
  <si>
    <t>kWh</t>
  </si>
  <si>
    <t>spoon</t>
  </si>
  <si>
    <t>Disposable foam plate</t>
  </si>
  <si>
    <t>fork</t>
  </si>
  <si>
    <t>Small disposable paper plate</t>
  </si>
  <si>
    <t>fork, knife</t>
  </si>
  <si>
    <t>Disposable foam cup</t>
  </si>
  <si>
    <t>Large disposable paper plate</t>
  </si>
  <si>
    <t>fork, spoon</t>
  </si>
  <si>
    <t>Disposable paper cup</t>
  </si>
  <si>
    <t>Small disposable plastic plate</t>
  </si>
  <si>
    <t>fork, knife, spoon</t>
  </si>
  <si>
    <t>Disposable plastic cup</t>
  </si>
  <si>
    <t>Large disposable plastic plate</t>
  </si>
  <si>
    <t>Disposable Utensils</t>
  </si>
  <si>
    <t>Disposable Cup</t>
  </si>
  <si>
    <t>Disposable Plate</t>
  </si>
  <si>
    <t>zip lock plastic bag - snack size</t>
  </si>
  <si>
    <t>zip lock plastic bag - square</t>
  </si>
  <si>
    <t>sterilite - square for sandwich</t>
  </si>
  <si>
    <t>rubber maid - 14 oz cylinder</t>
  </si>
  <si>
    <t>do not lose containers</t>
  </si>
  <si>
    <t>rubber maid - square for sandwich</t>
  </si>
  <si>
    <t>once a school year</t>
  </si>
  <si>
    <t>Rubbermaid - 1.25 cups</t>
  </si>
  <si>
    <t>once a semester</t>
  </si>
  <si>
    <t>Rubbermaid - 4 oz</t>
  </si>
  <si>
    <t>once every third month</t>
  </si>
  <si>
    <t>Laptop Lunch - water bottle</t>
  </si>
  <si>
    <t>N</t>
  </si>
  <si>
    <t>n</t>
  </si>
  <si>
    <t>once every other month</t>
  </si>
  <si>
    <t>Laptop Lunch - bento box</t>
  </si>
  <si>
    <t>Y</t>
  </si>
  <si>
    <t>y</t>
  </si>
  <si>
    <t>once a month</t>
  </si>
  <si>
    <t>Yes</t>
  </si>
  <si>
    <t>bring/buy</t>
  </si>
  <si>
    <t>Time</t>
  </si>
  <si>
    <t>Lunch Container Transport</t>
  </si>
  <si>
    <t>School_type</t>
  </si>
  <si>
    <t>incandescent W</t>
  </si>
  <si>
    <t>http://www.springerlink.com/content/r104g3640u736674/</t>
  </si>
  <si>
    <t xml:space="preserve"> Also surprising is the fact that the cadmium present in the NiCd batteries was less significant than many other factors. The results however agree broadly with those of Lankey and McMichael (2000).</t>
  </si>
  <si>
    <t>Most of the results are in line with expectations but somewhat surprisingly, the impact in most categories is dominated by the energy used in wholesaling and retailing, particularly for the alkaline batteries where the number involved is large.</t>
  </si>
  <si>
    <t>www.nema.org/.../Sound_Environmental_Management_10_01.DOC</t>
  </si>
  <si>
    <t>Currently the costs of recycling standard alkaline cells can be 3 times greater than the cost of treatment and disposal and similar variations apply to NiCad and Lithium batteries. http://www.envirogreen.co.uk/service_battery_disposal.shtml</t>
  </si>
  <si>
    <t>1 package = 93 packages of disposable</t>
  </si>
  <si>
    <t>U.S. EPA 2007</t>
  </si>
  <si>
    <t>N2O grams per mile</t>
  </si>
  <si>
    <t>N2O emissions for gasoline cars</t>
  </si>
  <si>
    <t>CH4 grams per mile</t>
  </si>
  <si>
    <t>CH4 emissions for gasoline cars</t>
  </si>
  <si>
    <t>U.S. EIA/DOE, U.S. DOT</t>
  </si>
  <si>
    <t>CO2 grams per mile</t>
  </si>
  <si>
    <t>CO2 emissions for gasoline cars</t>
  </si>
  <si>
    <t>based on ratio from US EPA 2008</t>
  </si>
  <si>
    <t>pounds per gallon</t>
  </si>
  <si>
    <t>based on ratio from US EPA 2007</t>
  </si>
  <si>
    <t>Pounds per gallon (U.S. EIA/DOE)</t>
  </si>
  <si>
    <t>Source</t>
  </si>
  <si>
    <t>ENGLISH units</t>
  </si>
  <si>
    <t>Emission Factors</t>
  </si>
  <si>
    <t xml:space="preserve">Multiplier for cars off the road for a year (per ton of CO2 e)*  </t>
  </si>
  <si>
    <t>(WBCSD/WRI GHG Protocol)</t>
  </si>
  <si>
    <t>kg CO2 per GJ</t>
  </si>
  <si>
    <t>GJ/gallon (energy used)</t>
  </si>
  <si>
    <t>(IPCC 2007)</t>
  </si>
  <si>
    <r>
      <t>Global warming potential (in CO</t>
    </r>
    <r>
      <rPr>
        <vertAlign val="subscript"/>
        <sz val="10"/>
        <rFont val="Arial"/>
        <family val="2"/>
      </rPr>
      <t>2</t>
    </r>
    <r>
      <rPr>
        <sz val="10"/>
        <rFont val="Arial"/>
        <family val="0"/>
      </rPr>
      <t xml:space="preserve"> equivalents) of NO</t>
    </r>
    <r>
      <rPr>
        <vertAlign val="subscript"/>
        <sz val="10"/>
        <rFont val="Arial"/>
        <family val="2"/>
      </rPr>
      <t>2</t>
    </r>
    <r>
      <rPr>
        <sz val="10"/>
        <rFont val="Arial"/>
        <family val="0"/>
      </rPr>
      <t xml:space="preserve">: </t>
    </r>
  </si>
  <si>
    <r>
      <t>Global warming potential (in CO</t>
    </r>
    <r>
      <rPr>
        <vertAlign val="subscript"/>
        <sz val="10"/>
        <rFont val="Arial"/>
        <family val="2"/>
      </rPr>
      <t>2</t>
    </r>
    <r>
      <rPr>
        <sz val="10"/>
        <rFont val="Arial"/>
        <family val="0"/>
      </rPr>
      <t xml:space="preserve"> equivalents) of CH</t>
    </r>
    <r>
      <rPr>
        <vertAlign val="subscript"/>
        <sz val="10"/>
        <rFont val="Arial"/>
        <family val="2"/>
      </rPr>
      <t>4</t>
    </r>
    <r>
      <rPr>
        <sz val="10"/>
        <rFont val="Arial"/>
        <family val="0"/>
      </rPr>
      <t>:</t>
    </r>
  </si>
  <si>
    <t>miles in a km</t>
  </si>
  <si>
    <t>km in a mile</t>
  </si>
  <si>
    <t>kilograms in metric ton</t>
  </si>
  <si>
    <t>grams in a kilogram</t>
  </si>
  <si>
    <t>grams in metric ton</t>
  </si>
  <si>
    <t>Molecular Weight of Carbon (grams)</t>
  </si>
  <si>
    <t>Molecular Weight of Oxygen (grams)</t>
  </si>
  <si>
    <t>GWP of NO2</t>
  </si>
  <si>
    <t>GWP of CH4</t>
  </si>
  <si>
    <t>lbs in metric tons</t>
  </si>
  <si>
    <t>liters in 1 gallon</t>
  </si>
  <si>
    <t>kilometers in 1 mile</t>
  </si>
  <si>
    <t>pound in 1 kg</t>
  </si>
  <si>
    <t>grams in 1 pound</t>
  </si>
  <si>
    <t>Conversions</t>
  </si>
  <si>
    <t>* Assuming Enercell Brand cost at www.radioshack.com</t>
  </si>
  <si>
    <t>http://www.allaboutbatteries.com/Energy-tables.html</t>
  </si>
  <si>
    <t>NiMH battery Charger</t>
  </si>
  <si>
    <t>D - NiMH</t>
  </si>
  <si>
    <t>D - Nickel-Cadmium</t>
  </si>
  <si>
    <t>D - Carbon-zinc</t>
  </si>
  <si>
    <t>D - Alkaline Long-life</t>
  </si>
  <si>
    <t>Energy storage in D batteries</t>
  </si>
  <si>
    <t>C - NiMH</t>
  </si>
  <si>
    <t>C - Nickel-Cadmium</t>
  </si>
  <si>
    <t>C - Carbon-zinc</t>
  </si>
  <si>
    <t>C - Alkaline Long-life</t>
  </si>
  <si>
    <t>Energy storage in C batteries</t>
  </si>
  <si>
    <t>Lithium Ion</t>
  </si>
  <si>
    <t>AA - NiMH</t>
  </si>
  <si>
    <t>AA - Nickel-Cadmium</t>
  </si>
  <si>
    <t>AA - Carbon-zinc</t>
  </si>
  <si>
    <t>AA - Alkaline Long-life</t>
  </si>
  <si>
    <t>Energy storage in AA batteries</t>
  </si>
  <si>
    <t>AAA - NiMH</t>
  </si>
  <si>
    <t>AAA - Nickel-Cadmium</t>
  </si>
  <si>
    <t>AAA - Carbon-zinc</t>
  </si>
  <si>
    <t>AAA - Alkaline Long-life</t>
  </si>
  <si>
    <t>Battery Type</t>
  </si>
  <si>
    <t xml:space="preserve">Estimated Cost per battery * </t>
  </si>
  <si>
    <t>Equivalent lbs petroleum extracted for 1 battery</t>
  </si>
  <si>
    <t>Consumption of Non-renewable Resources (kg of petroleum extracted)</t>
  </si>
  <si>
    <t>Climate Change Impact (equivalent Km driven)</t>
  </si>
  <si>
    <t># of Batteries per 1 kWh</t>
  </si>
  <si>
    <t>Joules (J)</t>
  </si>
  <si>
    <t>Watt-hours (Wh)</t>
  </si>
  <si>
    <t>milli-Amp hours (mAh)</t>
  </si>
  <si>
    <t>Avg. voltage during discharge</t>
  </si>
  <si>
    <t>Energy storage in AAA batteries</t>
  </si>
  <si>
    <t>Amount of energy used to charge 1 reusable NiMH battery</t>
  </si>
  <si>
    <t>Cost of 1 kwh</t>
  </si>
  <si>
    <t>These are the results of an independent French study commissioned by rechargeable battery manufacturer, Uniross, which confirms the harmful effects of domestic batteries on the environment.  http://www.smarterproducts.co.uk/acatalog/pdf_UNIROSS-Study-Environmental-impact-of-batteries.pdf</t>
  </si>
  <si>
    <t>disposable batteries</t>
  </si>
  <si>
    <t>1 rechargeable battery</t>
  </si>
  <si>
    <r>
      <t xml:space="preserve">Do you want to use the </t>
    </r>
    <r>
      <rPr>
        <b/>
        <sz val="10"/>
        <rFont val="Arial"/>
        <family val="2"/>
      </rPr>
      <t>estimated</t>
    </r>
    <r>
      <rPr>
        <sz val="10"/>
        <rFont val="Arial"/>
        <family val="2"/>
      </rPr>
      <t xml:space="preserve"> number of cans or </t>
    </r>
    <r>
      <rPr>
        <b/>
        <sz val="10"/>
        <rFont val="Arial"/>
        <family val="2"/>
      </rPr>
      <t>actual</t>
    </r>
    <r>
      <rPr>
        <sz val="10"/>
        <rFont val="Arial"/>
        <family val="2"/>
      </rPr>
      <t xml:space="preserve"> cans thrown out each day? </t>
    </r>
  </si>
  <si>
    <r>
      <t xml:space="preserve">Do you want to use the </t>
    </r>
    <r>
      <rPr>
        <b/>
        <sz val="10"/>
        <rFont val="Arial"/>
        <family val="2"/>
      </rPr>
      <t>estimated</t>
    </r>
    <r>
      <rPr>
        <sz val="10"/>
        <rFont val="Arial"/>
        <family val="2"/>
      </rPr>
      <t xml:space="preserve"> or the </t>
    </r>
    <r>
      <rPr>
        <b/>
        <sz val="10"/>
        <rFont val="Arial"/>
        <family val="2"/>
      </rPr>
      <t>actual</t>
    </r>
    <r>
      <rPr>
        <sz val="10"/>
        <rFont val="Arial"/>
        <family val="2"/>
      </rPr>
      <t xml:space="preserve"> amount of paper recycled? </t>
    </r>
  </si>
  <si>
    <t>Table of Contents</t>
  </si>
  <si>
    <t>Conversion factor (Kwh/C02)</t>
  </si>
  <si>
    <r>
      <t xml:space="preserve">By the way, to find all the places where the 178-factor occurs, use the Find function for the whole Workbook and search for the text string </t>
    </r>
    <r>
      <rPr>
        <b/>
        <u val="single"/>
        <sz val="10"/>
        <rFont val="Arial"/>
        <family val="2"/>
      </rPr>
      <t>day</t>
    </r>
    <r>
      <rPr>
        <sz val="10"/>
        <rFont val="Arial"/>
        <family val="2"/>
      </rPr>
      <t>, in the Formulas.</t>
    </r>
  </si>
  <si>
    <t>How many students are enrolled at your district?</t>
  </si>
  <si>
    <t>How many school days do you have per year?</t>
  </si>
  <si>
    <t>Deleted 'School Purchasing Calculator' worksheets</t>
  </si>
  <si>
    <t>Created 'Basic School Info' tab to include common inputs for 'Paper Tray' worksheets</t>
  </si>
  <si>
    <t>Removed Broken links on 'Battery Assumptions' worksheets</t>
  </si>
  <si>
    <t>Placed info from the 'Battery Assumptions' worksheet into the 'Conversions' worksheet. Deleted 'Battery Assumptions' tab.</t>
  </si>
  <si>
    <t>How manys students use the room each day, on average?</t>
  </si>
  <si>
    <t>Suggested To Do:</t>
  </si>
  <si>
    <t>Expanded Conversions</t>
  </si>
  <si>
    <t>Placed info from the 'Battery Assumptions' worksheet into the 'Conversions' worksheet. Culled and consolidated info where appropriate. Deleted 'Lighting Assumptions' tab.</t>
  </si>
  <si>
    <t>Batteries</t>
  </si>
  <si>
    <t>The 'Lunch Assumptions' sheet should to be cut and pasted to the Conversions tab, and then culled and consolidated as appropriate (note that two other worksheets depend on much of the info in this worksheet - and it gets a little complicated).</t>
  </si>
  <si>
    <t>The input (yellow) cells for the 'Zero Waste Log' sheet can be moved to the 'Basic School Info' page (just be sure to replace dependent links).</t>
  </si>
  <si>
    <t>The input (yellow cell) for the 'Party Ware' sheet can be moved to the 'Basic School info' page (be sure to replace dependent links.</t>
  </si>
  <si>
    <t>Should we get rid of the fact pages ('Battery Facts'; 'Mercury Facts')</t>
  </si>
  <si>
    <t>Should we move 'Party Ware_Assumptions' sheet to the 'Conversions' sheet? After we move the info, we would delete the sheet.</t>
  </si>
  <si>
    <t>Fix Macro on 'Battery Findings' sheet (Hide and Show buttons)</t>
  </si>
  <si>
    <t>agreed - kgr</t>
  </si>
  <si>
    <t>No; lets see if StopWaste decides they are superfluous.  I think we (Cybele) put them in at Mark Spencer's request.</t>
  </si>
  <si>
    <t>fork, knife, spoon</t>
  </si>
  <si>
    <t>Party Ware row 21 text is not clear about what the numbers in that row represent.  Needs more of an explanation.</t>
  </si>
  <si>
    <t>melamine</t>
  </si>
  <si>
    <t>Price and sample from Target store</t>
  </si>
  <si>
    <t>All of the Party Ware assumptions are in the Lunch Assumptions sheet (rows 102 - 118), and the Party ware Assumptions sheet isn't referenced by anything else in the workbook.  So, just delete the Party Ware_Assumptions sheet entirely.</t>
  </si>
  <si>
    <t>Check all sheets for macros that might not work due to sheet renaming.</t>
  </si>
  <si>
    <t>Look at every sheet for cells that should draw from the Basic School Info page, and make sure that they do.  Then remove any yellow highlight, since these cells won't need to be filled in.</t>
  </si>
  <si>
    <t>Very tedious: remove the subheadings in the tabs, i.e., the words (Product), (Paper), etc.</t>
  </si>
  <si>
    <t>Done.  Found none, other than Battery Findings, which is fixed.</t>
  </si>
  <si>
    <t>When we have made practically all of our changes, re-check the hyperlinks; some of them are broken already, and others will probably be broken as we change names on tabs etc.</t>
  </si>
  <si>
    <t>Wait about a week (Feb 10 or so) before doing this.</t>
  </si>
  <si>
    <t>yes, just replace those cell contents with cell references to the Basic School Info sheet; remove the Data Validation parameters for the type-of-school cell; and remove the bright yellow highlight.</t>
  </si>
  <si>
    <t xml:space="preserve">How do you transport your lunch to school every day?  Do you use reusable containers to transport your lunch to school?  What is the impact on the environment of your lunch containers?  </t>
  </si>
  <si>
    <t>Zero Waste Lunch Log</t>
  </si>
  <si>
    <t>School District Estimate</t>
  </si>
  <si>
    <t>School Estimate</t>
  </si>
  <si>
    <t>Students logged</t>
  </si>
  <si>
    <t>Classroom</t>
  </si>
  <si>
    <t>Equivalent cars on the road</t>
  </si>
  <si>
    <t>Equivalent households of electricity</t>
  </si>
  <si>
    <t>Energy &amp; Disposal Related Emissions (CO2, lbs)</t>
  </si>
  <si>
    <t>Equivalent Years of Estimated disposable bag usage</t>
  </si>
  <si>
    <t>Total School Year Weight (lbs)</t>
  </si>
  <si>
    <t>Potenial saved resources</t>
  </si>
  <si>
    <t>Equivalent months of Estimated disposable bag usage</t>
  </si>
  <si>
    <t>Total School Year Weight (g)</t>
  </si>
  <si>
    <t>School Year Weight (g)</t>
  </si>
  <si>
    <t>Container Multiple</t>
  </si>
  <si>
    <t>weight (g)</t>
  </si>
  <si>
    <t>Difference</t>
  </si>
  <si>
    <t>Best Case Scenario (Rubbermaid, 4 containers, lose containers once a school year)</t>
  </si>
  <si>
    <t>Resources/ Environmental Impact of plastics production and disposal</t>
  </si>
  <si>
    <t>Container #4</t>
  </si>
  <si>
    <t>Container #3</t>
  </si>
  <si>
    <t>Container #2</t>
  </si>
  <si>
    <t>Zero Waste Lunch Calculation</t>
  </si>
  <si>
    <t>Is that more, or less, than you expected?</t>
  </si>
  <si>
    <t xml:space="preserve">How many pounds of CO2e are emitted for every pound of plastic produced?  </t>
  </si>
  <si>
    <t>Equivalent cars off the road</t>
  </si>
  <si>
    <t>Potential Avoided Resources if go to best case scenario                                                                 (using Rubbermaid, 4 containers, lose containers once a school year)</t>
  </si>
  <si>
    <t>Best Case Scenario</t>
  </si>
  <si>
    <t>Current Lunch Container Practices</t>
  </si>
  <si>
    <t>Avoided CO2e Emissions</t>
  </si>
  <si>
    <t>CO2e Emissions related to Production &amp; Disposal</t>
  </si>
  <si>
    <t>Plastic Resources Saved</t>
  </si>
  <si>
    <t>Total Plastic Weight (school year)</t>
  </si>
  <si>
    <t>Current Practices:  Resources &amp; Environmental Impact of plastics production and disposal</t>
  </si>
  <si>
    <t>% Reduction in CO2e</t>
  </si>
  <si>
    <t>Potential Avoided Resources if go to best case scenario                               (using Rubbermaid, 4 containers, lose containers once a school year)</t>
  </si>
  <si>
    <t>Current Practices:  Resources &amp; Environmental Impact of plastics production and disposal</t>
  </si>
  <si>
    <t>Here are the results, comparing the resources and energy used with your class's current lunch packaging, versus having everyone use durable containers.</t>
  </si>
  <si>
    <t>Zero Waste Lunch Findings</t>
  </si>
  <si>
    <t>* Assumes 5 gallon/ minute water flow from faucet, and 20 seconds of water flow to wash one set of dishes</t>
  </si>
  <si>
    <t>Overall, the reusable dishware uses more water than the disposable dish alternative.  This is because, washing the dishes after each use uses more water than the water needed to make the disposable dishware alternative.*</t>
  </si>
  <si>
    <t>Durable Utensil</t>
  </si>
  <si>
    <t>Durable cup</t>
  </si>
  <si>
    <t>Durable plate</t>
  </si>
  <si>
    <t>Disposable Utensil</t>
  </si>
  <si>
    <t>Disposable cup</t>
  </si>
  <si>
    <t>Disposable plate</t>
  </si>
  <si>
    <t>Cost Estimate</t>
  </si>
  <si>
    <t>Water (gallons) for washing durable dishware*</t>
  </si>
  <si>
    <t>Weight of Dishware for classroom (lbs)</t>
  </si>
  <si>
    <t xml:space="preserve">Note: need energy &amp; water used to produce steel.  Found one source for CO2 of 1.7 lbs of CO2 to every lb steel produced.  Saw other conflicting numbers for this estimate.  </t>
  </si>
  <si>
    <t>Findings</t>
  </si>
  <si>
    <t>Generally, when your class purchases disposable utensils for an event, do you purchase spoons, forks, and knives (please choose the combination)?</t>
  </si>
  <si>
    <t>disposable plastic cup</t>
  </si>
  <si>
    <t>When your class purchases disposable cups for an event, what kind of cups do you purchase?</t>
  </si>
  <si>
    <t>When your class purchases disposable plates for an event, what kind of plates do you purchase?</t>
  </si>
  <si>
    <t>The purpose of this worksheet is to determine when a classroom should consider buying durable dishware for classroom parties.</t>
  </si>
  <si>
    <t>Durable or Disposable Party Ware</t>
  </si>
  <si>
    <t>7. Added Product worksheets to Schools worksheet; added thed word "(Product) to names of tabs.</t>
  </si>
  <si>
    <t>Equivalent #  of Trees</t>
  </si>
  <si>
    <r>
      <t>Mulitiplier for trees needing to be planted to offset emissions (per ton C02e)</t>
    </r>
    <r>
      <rPr>
        <vertAlign val="superscript"/>
        <sz val="10"/>
        <rFont val="Arial"/>
        <family val="2"/>
      </rPr>
      <t>1</t>
    </r>
  </si>
  <si>
    <t>http://www.ci.emeryville.ca.us/DocumentView.aspx?DID=330</t>
  </si>
  <si>
    <t>http://reviews.cnet.com/green-tech/tv-power-efficiency/</t>
  </si>
  <si>
    <t>Average LCD TV Power Rating: 111 watts = .111 kilowatt-hours per 1 hour</t>
  </si>
  <si>
    <t>Electrcicty CO2e EF = 493 lbs/MWh</t>
  </si>
  <si>
    <t>http://www.erasecarbonfootprint.com/reduce-co2.html</t>
  </si>
  <si>
    <r>
      <rPr>
        <vertAlign val="superscript"/>
        <sz val="10"/>
        <rFont val="Arial"/>
        <family val="2"/>
      </rPr>
      <t>1</t>
    </r>
    <r>
      <rPr>
        <sz val="10"/>
        <rFont val="Arial"/>
        <family val="2"/>
      </rPr>
      <t xml:space="preserve">A 25 year old pine tree absorbs 6.82kg or 0.00682 tonnes of CO2 per year: </t>
    </r>
  </si>
  <si>
    <r>
      <t>TV hours per kilowatt</t>
    </r>
    <r>
      <rPr>
        <vertAlign val="superscript"/>
        <sz val="10"/>
        <rFont val="Arial"/>
        <family val="2"/>
      </rPr>
      <t>2</t>
    </r>
  </si>
  <si>
    <t>Equivalent Hours of TV Watching</t>
  </si>
  <si>
    <t>Eliminate the Conversions_JC sheet by identifying any unique info not already in the Conversions sheet and moving that info to the Conversions sheet; then delete the rest (of the Conversions_JC sheet).</t>
  </si>
  <si>
    <t>Remove rows 58-60 of the Tray Purchasing sheet; this will eliminate some out-of-date info and eliminate the links to 3 outside sheets re costs at specific school districts.</t>
  </si>
  <si>
    <t>Paper boat (3 lbs)</t>
  </si>
  <si>
    <t>Paper boat (5 lbs)</t>
  </si>
  <si>
    <t>kgr</t>
  </si>
  <si>
    <t>jxs</t>
  </si>
  <si>
    <t>Item</t>
  </si>
  <si>
    <t>Revised the format of this page, a little.</t>
  </si>
  <si>
    <t>Deleted extraneous 'hidden' sheets from Paper Tray spreadsheet</t>
  </si>
  <si>
    <t>Changed all range names in Paper Tray spreadsheet (added "_Paper" at the end of each.</t>
  </si>
  <si>
    <t>Changed all range names in Product spreadsheet (added "_P") at the end of each.</t>
  </si>
  <si>
    <t>Deleted extraneous 'hidden' sheets from School Purchasing spreadsheet</t>
  </si>
  <si>
    <t>Added Paper Tray worksheet to Schools worksheet; added the word "(Paper)" to names of tabs.</t>
  </si>
  <si>
    <t>Found and replaced "Conversion-09' names (within forumulas) with 'Conversions' -- since we only need the conversions tab.</t>
  </si>
  <si>
    <t>cleaned up the #REF errors in the Foam Tray Data sheet by back-calculating the missing values.</t>
  </si>
  <si>
    <t>Unify the usage of 178 days (or choice of another number) wherever the number of days in the school year is used.  Should this propagate throughout the workbook?  I'm not sure.  But it will get rid of at least one #REF error.</t>
  </si>
  <si>
    <t>Look carefully at the text entries for the worksheets, formerly in the "paper tray" workbook, that are about Aluminum Can Recycling, Plastic Bottle Recycling, and Paper Recycling.  Clean up the font and the grammar &amp; spelling.</t>
  </si>
  <si>
    <t>Create a Table of Contents page at the front with hyperlinks that jump the user to the first page of each module.</t>
  </si>
  <si>
    <t>Move the tabs around to create a more logical sequence, so everything within one module is together, and the modules flow in a logical order.  Put the Conversions sheet and the EDF_results sheet at the end (all the way to the right, except for this sheet).  Also put the Foam Tray Data and trendline sheets (five in all) at the right-hand end so they don't distract.  Ditto for the Ranges sheet.</t>
  </si>
  <si>
    <t>1 kWh of energy from NiMH battery</t>
  </si>
  <si>
    <t>1 kWh of energy from Alkaline battery</t>
  </si>
  <si>
    <t>http://www.sfenvironment.org/downloads/library/1_mercuryandhumanhealth.doc</t>
  </si>
  <si>
    <t>http://www.sfenvironment.org/downloads/library/ghealthierworkenvironments.pdf</t>
  </si>
  <si>
    <t>Sources</t>
  </si>
  <si>
    <t xml:space="preserve"> Keep batteries in the recharger until you need them so you don’t drain their energy.  If rechargeables are not available for a certain application, choose long-lasting batteries that won’t have to be replaced as often.</t>
  </si>
  <si>
    <t xml:space="preserve">Use rechargeable batteries whenever possible. Nickel-metal- hydride and lithium rechargeables are preferable to nickel cadmium batteries because they are less toxic and can be more easily recharged without losing their power. </t>
  </si>
  <si>
    <t>Whenever possible, choose products that operate without batteries. Some calculators and other items are solar-powered. Choose flashlights containing Light-Emitting Diode (LED) lights because they will enable your batteries to last longer.</t>
  </si>
  <si>
    <t>Less Toxic Tips:</t>
  </si>
  <si>
    <t>cars off the road</t>
  </si>
  <si>
    <t>Making these changes to the recycled content of your paper supply would have same effect as taking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</si>
</sst>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000"/>
    <numFmt numFmtId="173" formatCode="&quot;$&quot;#,##0"/>
    <numFmt numFmtId="174" formatCode="0.00_);[Red]\(0.00\)"/>
    <numFmt numFmtId="175" formatCode="#,##0.0000"/>
    <numFmt numFmtId="176" formatCode="_(* #,##0_);_(* \(#,##0\);_(* &quot;-&quot;??_);_(@_)"/>
    <numFmt numFmtId="177" formatCode="&quot;$&quot;#,##0.000"/>
    <numFmt numFmtId="178" formatCode="_(* #,##0.0_);_(* \(#,##0.0\);_(* &quot;-&quot;??_);_(@_)"/>
    <numFmt numFmtId="179" formatCode="0.000"/>
    <numFmt numFmtId="180" formatCode="&quot;$&quot;#,##0.00"/>
    <numFmt numFmtId="181" formatCode="&quot;$&quot;#,##0;[Red]&quot;$&quot;#,##0"/>
    <numFmt numFmtId="182" formatCode="#,##0.000"/>
    <numFmt numFmtId="183" formatCode="mmm\-yyyy"/>
    <numFmt numFmtId="184" formatCode="_(* #,##0.000_);_(* \(#,##0.000\);_(* &quot;-&quot;??_);_(@_)"/>
    <numFmt numFmtId="185" formatCode="_(* #,##0.0000_);_(* \(#,##0.0000\);_(* &quot;-&quot;??_);_(@_)"/>
    <numFmt numFmtId="186" formatCode="_(* #,##0.00000_);_(* \(#,##0.00000\);_(* &quot;-&quot;??_);_(@_)"/>
    <numFmt numFmtId="187" formatCode="_(* #,##0.000000_);_(* \(#,##0.000000\);_(* &quot;-&quot;??_);_(@_)"/>
    <numFmt numFmtId="188" formatCode="_(* #,##0.0000000_);_(* \(#,##0.0000000\);_(* &quot;-&quot;??_);_(@_)"/>
    <numFmt numFmtId="189" formatCode="_(* #,##0.00000000_);_(* \(#,##0.00000000\);_(* &quot;-&quot;??_);_(@_)"/>
    <numFmt numFmtId="190" formatCode="[$-409]dddd\,\ mmmm\ dd\,\ yyyy"/>
    <numFmt numFmtId="191" formatCode="[$-409]h:mm:ss\ AM/PM"/>
    <numFmt numFmtId="192" formatCode="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
    <numFmt numFmtId="202" formatCode="0.0000%"/>
    <numFmt numFmtId="203" formatCode="_(&quot;$&quot;* #,##0.000_);_(&quot;$&quot;* \(#,##0.000\);_(&quot;$&quot;* &quot;-&quot;??_);_(@_)"/>
    <numFmt numFmtId="204" formatCode="_(&quot;$&quot;* #,##0.0_);_(&quot;$&quot;* \(#,##0.0\);_(&quot;$&quot;* &quot;-&quot;??_);_(@_)"/>
    <numFmt numFmtId="205" formatCode="_(&quot;$&quot;* #,##0_);_(&quot;$&quot;* \(#,##0\);_(&quot;$&quot;* &quot;-&quot;??_);_(@_)"/>
    <numFmt numFmtId="206" formatCode="#,##0.0_);[Red]\(#,##0.0\)"/>
  </numFmts>
  <fonts count="100">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sz val="10"/>
      <color indexed="8"/>
      <name val="Arial"/>
      <family val="2"/>
    </font>
    <font>
      <sz val="8"/>
      <name val="Tahoma"/>
      <family val="2"/>
    </font>
    <font>
      <b/>
      <sz val="8"/>
      <name val="Tahoma"/>
      <family val="2"/>
    </font>
    <font>
      <b/>
      <sz val="10"/>
      <color indexed="12"/>
      <name val="Arial"/>
      <family val="2"/>
    </font>
    <font>
      <b/>
      <sz val="10"/>
      <color indexed="10"/>
      <name val="Arial"/>
      <family val="2"/>
    </font>
    <font>
      <b/>
      <u val="single"/>
      <sz val="10"/>
      <name val="Arial"/>
      <family val="2"/>
    </font>
    <font>
      <b/>
      <sz val="10"/>
      <name val="Verdana"/>
      <family val="2"/>
    </font>
    <font>
      <sz val="10"/>
      <name val="Verdana"/>
      <family val="2"/>
    </font>
    <font>
      <b/>
      <sz val="10"/>
      <color indexed="8"/>
      <name val="Arial"/>
      <family val="2"/>
    </font>
    <font>
      <b/>
      <sz val="12"/>
      <name val="Arial"/>
      <family val="2"/>
    </font>
    <font>
      <sz val="10"/>
      <color indexed="10"/>
      <name val="Arial"/>
      <family val="2"/>
    </font>
    <font>
      <b/>
      <i/>
      <sz val="10"/>
      <name val="Arial"/>
      <family val="2"/>
    </font>
    <font>
      <b/>
      <sz val="10"/>
      <color indexed="57"/>
      <name val="Arial"/>
      <family val="2"/>
    </font>
    <font>
      <sz val="10"/>
      <color indexed="53"/>
      <name val="Arial"/>
      <family val="2"/>
    </font>
    <font>
      <b/>
      <sz val="10"/>
      <color indexed="17"/>
      <name val="Arial"/>
      <family val="2"/>
    </font>
    <font>
      <sz val="12"/>
      <name val="Times New Roman"/>
      <family val="1"/>
    </font>
    <font>
      <i/>
      <sz val="10"/>
      <name val="Arial"/>
      <family val="2"/>
    </font>
    <font>
      <sz val="10"/>
      <name val="Bring_buy"/>
      <family val="0"/>
    </font>
    <font>
      <vertAlign val="subscript"/>
      <sz val="10"/>
      <name val="Arial"/>
      <family val="2"/>
    </font>
    <font>
      <sz val="12"/>
      <name val="Arial"/>
      <family val="2"/>
    </font>
    <font>
      <b/>
      <sz val="10"/>
      <color indexed="61"/>
      <name val="Arial"/>
      <family val="2"/>
    </font>
    <font>
      <sz val="14"/>
      <name val="Arial"/>
      <family val="2"/>
    </font>
    <font>
      <b/>
      <sz val="8"/>
      <color indexed="18"/>
      <name val="Verdana"/>
      <family val="2"/>
    </font>
    <font>
      <sz val="8"/>
      <name val="Verdana"/>
      <family val="2"/>
    </font>
    <font>
      <b/>
      <sz val="8"/>
      <name val="Verdana"/>
      <family val="2"/>
    </font>
    <font>
      <b/>
      <sz val="10"/>
      <color indexed="14"/>
      <name val="Arial"/>
      <family val="2"/>
    </font>
    <font>
      <u val="single"/>
      <sz val="10"/>
      <name val="Arial"/>
      <family val="2"/>
    </font>
    <font>
      <sz val="11"/>
      <name val="Times New Roman"/>
      <family val="1"/>
    </font>
    <font>
      <vertAlign val="superscript"/>
      <sz val="10"/>
      <name val="Arial"/>
      <family val="2"/>
    </font>
    <font>
      <sz val="16"/>
      <name val="Arial"/>
      <family val="2"/>
    </font>
    <font>
      <sz val="10"/>
      <color indexed="12"/>
      <name val="Arial"/>
      <family val="2"/>
    </font>
    <font>
      <sz val="10"/>
      <color indexed="20"/>
      <name val="Arial"/>
      <family val="2"/>
    </font>
    <font>
      <b/>
      <sz val="18"/>
      <name val="Arial"/>
      <family val="2"/>
    </font>
    <font>
      <sz val="10"/>
      <color indexed="9"/>
      <name val="Arial"/>
      <family val="2"/>
    </font>
    <font>
      <sz val="11.5"/>
      <color indexed="8"/>
      <name val="Arial"/>
      <family val="2"/>
    </font>
    <font>
      <sz val="11.75"/>
      <color indexed="8"/>
      <name val="Arial"/>
      <family val="2"/>
    </font>
    <font>
      <sz val="12"/>
      <color indexed="8"/>
      <name val="Arial"/>
      <family val="2"/>
    </font>
    <font>
      <sz val="7.35"/>
      <color indexed="8"/>
      <name val="Arial"/>
      <family val="2"/>
    </font>
    <font>
      <sz val="8.15"/>
      <color indexed="8"/>
      <name val="Arial"/>
      <family val="2"/>
    </font>
    <font>
      <sz val="10.75"/>
      <color indexed="8"/>
      <name val="Arial"/>
      <family val="2"/>
    </font>
    <font>
      <sz val="9.25"/>
      <color indexed="8"/>
      <name val="Arial"/>
      <family val="2"/>
    </font>
    <font>
      <sz val="6.55"/>
      <color indexed="8"/>
      <name val="Arial"/>
      <family val="2"/>
    </font>
    <font>
      <sz val="8"/>
      <color indexed="8"/>
      <name val="Arial"/>
      <family val="2"/>
    </font>
    <font>
      <sz val="6.2"/>
      <color indexed="8"/>
      <name val="Arial"/>
      <family val="2"/>
    </font>
    <font>
      <sz val="10"/>
      <color indexed="8"/>
      <name val="Calibri"/>
      <family val="2"/>
    </font>
    <font>
      <sz val="6.75"/>
      <color indexed="8"/>
      <name val="Calibri"/>
      <family val="2"/>
    </font>
    <font>
      <sz val="8.45"/>
      <color indexed="8"/>
      <name val="Arial"/>
      <family val="2"/>
    </font>
    <font>
      <sz val="8.4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4.25"/>
      <color indexed="8"/>
      <name val="Arial"/>
      <family val="2"/>
    </font>
    <font>
      <b/>
      <sz val="11.5"/>
      <color indexed="8"/>
      <name val="Arial"/>
      <family val="2"/>
    </font>
    <font>
      <b/>
      <sz val="12.5"/>
      <color indexed="8"/>
      <name val="Arial"/>
      <family val="2"/>
    </font>
    <font>
      <b/>
      <sz val="13"/>
      <color indexed="8"/>
      <name val="Arial"/>
      <family val="2"/>
    </font>
    <font>
      <sz val="10.8"/>
      <color indexed="8"/>
      <name val="Arial"/>
      <family val="2"/>
    </font>
    <font>
      <b/>
      <sz val="11"/>
      <color indexed="8"/>
      <name val="Arial"/>
      <family val="2"/>
    </font>
    <font>
      <b/>
      <sz val="8"/>
      <color indexed="8"/>
      <name val="Arial"/>
      <family val="2"/>
    </font>
    <font>
      <b/>
      <sz val="12"/>
      <color indexed="8"/>
      <name val="Calibri"/>
      <family val="2"/>
    </font>
    <font>
      <b/>
      <sz val="14"/>
      <color indexed="8"/>
      <name val="Calibri"/>
      <family val="2"/>
    </font>
    <font>
      <b/>
      <sz val="18"/>
      <color indexed="8"/>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6"/>
        <bgColor indexed="64"/>
      </patternFill>
    </fill>
    <fill>
      <patternFill patternType="solid">
        <fgColor indexed="10"/>
        <bgColor indexed="64"/>
      </patternFill>
    </fill>
    <fill>
      <patternFill patternType="solid">
        <fgColor indexed="51"/>
        <bgColor indexed="64"/>
      </patternFill>
    </fill>
    <fill>
      <patternFill patternType="solid">
        <fgColor indexed="17"/>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style="hair"/>
    </border>
    <border>
      <left style="hair"/>
      <right style="hair"/>
      <top style="hair"/>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style="thin"/>
    </border>
    <border>
      <left style="thin"/>
      <right>
        <color indexed="63"/>
      </right>
      <top>
        <color indexed="63"/>
      </top>
      <bottom>
        <color indexed="63"/>
      </bottom>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hair"/>
    </border>
    <border>
      <left style="thin"/>
      <right>
        <color indexed="63"/>
      </right>
      <top style="hair"/>
      <bottom style="thin"/>
    </border>
    <border>
      <left style="thin"/>
      <right style="thin"/>
      <top style="thin"/>
      <bottom style="hair"/>
    </border>
    <border>
      <left style="thin"/>
      <right>
        <color indexed="63"/>
      </right>
      <top style="thin"/>
      <bottom style="hair"/>
    </border>
    <border>
      <left style="hair"/>
      <right style="thin"/>
      <top style="hair"/>
      <bottom>
        <color indexed="63"/>
      </bottom>
    </border>
    <border>
      <left style="hair"/>
      <right style="hair"/>
      <top style="hair"/>
      <bottom>
        <color indexed="63"/>
      </bottom>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style="thin"/>
      <right style="thin"/>
      <top>
        <color indexed="63"/>
      </top>
      <bottom style="thin"/>
    </border>
    <border>
      <left style="hair"/>
      <right style="thin"/>
      <top>
        <color indexed="63"/>
      </top>
      <bottom style="thin"/>
    </border>
    <border>
      <left style="thin"/>
      <right style="thin"/>
      <top>
        <color indexed="63"/>
      </top>
      <bottom>
        <color indexed="63"/>
      </bottom>
    </border>
    <border>
      <left style="thin"/>
      <right style="thin"/>
      <top style="thin"/>
      <bottom>
        <color indexed="63"/>
      </bottom>
    </border>
    <border>
      <left/>
      <right style="thin"/>
      <top/>
      <bottom style="hair"/>
    </border>
    <border>
      <left/>
      <right style="thin"/>
      <top style="thin"/>
      <bottom style="hair"/>
    </border>
    <border>
      <left style="thin"/>
      <right style="hair"/>
      <top>
        <color indexed="63"/>
      </top>
      <bottom>
        <color indexed="63"/>
      </bottom>
    </border>
    <border>
      <left style="thin"/>
      <right style="hair"/>
      <top>
        <color indexed="63"/>
      </top>
      <bottom style="thin"/>
    </border>
    <border>
      <left style="thin"/>
      <right style="thin"/>
      <top style="hair"/>
      <bottom>
        <color indexed="63"/>
      </bottom>
    </border>
    <border>
      <left style="hair"/>
      <right style="thin"/>
      <top>
        <color indexed="63"/>
      </top>
      <bottom>
        <color indexed="63"/>
      </bottom>
    </border>
    <border>
      <left style="thin"/>
      <right>
        <color indexed="63"/>
      </right>
      <top style="hair"/>
      <bottom>
        <color indexed="63"/>
      </bottom>
    </border>
    <border>
      <left>
        <color indexed="63"/>
      </left>
      <right style="hair"/>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top style="hair"/>
      <bottom style="thin"/>
    </border>
    <border>
      <left>
        <color indexed="63"/>
      </left>
      <right style="thin"/>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color indexed="63"/>
      </right>
      <top style="hair"/>
      <bottom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thin"/>
      <bottom style="thin"/>
    </border>
    <border>
      <left>
        <color indexed="63"/>
      </left>
      <right style="hair"/>
      <top style="thin"/>
      <bottom>
        <color indexed="63"/>
      </bottom>
    </border>
    <border>
      <left style="thin">
        <color indexed="23"/>
      </left>
      <right style="thin">
        <color indexed="23"/>
      </right>
      <top style="thin">
        <color indexed="23"/>
      </top>
      <bottom style="thin">
        <color indexed="2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thin">
        <color indexed="55"/>
      </left>
      <right style="thin">
        <color indexed="55"/>
      </right>
      <top>
        <color indexed="63"/>
      </top>
      <bottom style="thin"/>
    </border>
    <border>
      <left style="thin"/>
      <right style="thin">
        <color indexed="55"/>
      </right>
      <top style="thin"/>
      <bottom style="thin"/>
    </border>
    <border>
      <left style="thin">
        <color indexed="55"/>
      </left>
      <right style="thin"/>
      <top style="thin"/>
      <bottom style="thin"/>
    </border>
    <border>
      <left>
        <color indexed="63"/>
      </left>
      <right style="thin">
        <color indexed="55"/>
      </right>
      <top>
        <color indexed="63"/>
      </top>
      <bottom style="thin"/>
    </border>
    <border>
      <left style="thin">
        <color indexed="55"/>
      </left>
      <right style="thin"/>
      <top>
        <color indexed="63"/>
      </top>
      <bottom style="thin"/>
    </border>
    <border>
      <left style="thin">
        <color indexed="8"/>
      </left>
      <right>
        <color indexed="63"/>
      </right>
      <top style="thin">
        <color indexed="8"/>
      </top>
      <bottom>
        <color indexed="63"/>
      </bottom>
    </border>
    <border>
      <left>
        <color indexed="63"/>
      </left>
      <right style="hair"/>
      <top>
        <color indexed="63"/>
      </top>
      <bottom style="thin"/>
    </border>
    <border>
      <left>
        <color indexed="63"/>
      </left>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5" fillId="0" borderId="0">
      <alignment/>
      <protection/>
    </xf>
    <xf numFmtId="0" fontId="12"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1409">
    <xf numFmtId="0" fontId="0" fillId="0" borderId="0" xfId="0" applyAlignment="1">
      <alignment/>
    </xf>
    <xf numFmtId="0" fontId="0" fillId="0" borderId="10" xfId="0" applyBorder="1" applyAlignment="1">
      <alignment/>
    </xf>
    <xf numFmtId="0" fontId="0" fillId="0" borderId="0" xfId="0" applyFill="1" applyAlignment="1">
      <alignment/>
    </xf>
    <xf numFmtId="0" fontId="0" fillId="0" borderId="0" xfId="0" applyFill="1" applyAlignment="1">
      <alignment wrapText="1"/>
    </xf>
    <xf numFmtId="0" fontId="2" fillId="0" borderId="0" xfId="0" applyFont="1" applyAlignment="1">
      <alignment/>
    </xf>
    <xf numFmtId="0" fontId="0" fillId="0" borderId="0" xfId="0" applyAlignment="1">
      <alignment wrapText="1"/>
    </xf>
    <xf numFmtId="4" fontId="0" fillId="0" borderId="0" xfId="0" applyNumberFormat="1" applyAlignment="1">
      <alignment/>
    </xf>
    <xf numFmtId="0" fontId="2" fillId="0" borderId="11" xfId="0" applyFon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wrapText="1"/>
    </xf>
    <xf numFmtId="4" fontId="0" fillId="0" borderId="15" xfId="0" applyNumberFormat="1" applyBorder="1" applyAlignment="1">
      <alignment/>
    </xf>
    <xf numFmtId="4" fontId="0" fillId="33" borderId="16" xfId="0" applyNumberFormat="1" applyFill="1" applyBorder="1" applyAlignment="1">
      <alignment/>
    </xf>
    <xf numFmtId="0" fontId="0" fillId="34" borderId="10" xfId="0" applyFill="1" applyBorder="1" applyAlignment="1">
      <alignment wrapText="1"/>
    </xf>
    <xf numFmtId="4" fontId="0" fillId="34" borderId="16" xfId="0" applyNumberFormat="1" applyFill="1" applyBorder="1" applyAlignment="1">
      <alignment/>
    </xf>
    <xf numFmtId="4" fontId="0" fillId="34" borderId="17" xfId="0" applyNumberFormat="1" applyFill="1" applyBorder="1" applyAlignment="1">
      <alignment/>
    </xf>
    <xf numFmtId="0" fontId="0" fillId="35" borderId="10" xfId="0" applyFill="1" applyBorder="1" applyAlignment="1">
      <alignment wrapText="1"/>
    </xf>
    <xf numFmtId="4" fontId="0" fillId="35" borderId="16" xfId="0" applyNumberFormat="1" applyFill="1" applyBorder="1" applyAlignment="1">
      <alignment/>
    </xf>
    <xf numFmtId="4" fontId="5" fillId="35" borderId="17" xfId="0" applyNumberFormat="1" applyFont="1" applyFill="1" applyBorder="1" applyAlignment="1">
      <alignment/>
    </xf>
    <xf numFmtId="0" fontId="0" fillId="35" borderId="18" xfId="0" applyFill="1" applyBorder="1" applyAlignment="1">
      <alignment wrapText="1"/>
    </xf>
    <xf numFmtId="4" fontId="0" fillId="35" borderId="19" xfId="0" applyNumberFormat="1" applyFill="1" applyBorder="1" applyAlignment="1">
      <alignment/>
    </xf>
    <xf numFmtId="0" fontId="0" fillId="0" borderId="0" xfId="0" applyFill="1" applyBorder="1" applyAlignment="1">
      <alignment wrapText="1"/>
    </xf>
    <xf numFmtId="4" fontId="0" fillId="0" borderId="0" xfId="0" applyNumberFormat="1" applyFill="1" applyBorder="1" applyAlignment="1">
      <alignment/>
    </xf>
    <xf numFmtId="0" fontId="2" fillId="0" borderId="20" xfId="0" applyFont="1" applyBorder="1" applyAlignment="1">
      <alignment/>
    </xf>
    <xf numFmtId="4" fontId="4" fillId="0" borderId="21" xfId="54" applyNumberFormat="1" applyBorder="1" applyAlignment="1" applyProtection="1">
      <alignment/>
      <protection/>
    </xf>
    <xf numFmtId="4" fontId="0" fillId="0" borderId="21" xfId="0" applyNumberFormat="1" applyBorder="1" applyAlignment="1">
      <alignment/>
    </xf>
    <xf numFmtId="0" fontId="0" fillId="0" borderId="22" xfId="0" applyBorder="1" applyAlignment="1">
      <alignment/>
    </xf>
    <xf numFmtId="0" fontId="0" fillId="0" borderId="23" xfId="0" applyBorder="1" applyAlignment="1">
      <alignment wrapText="1"/>
    </xf>
    <xf numFmtId="0" fontId="0" fillId="0" borderId="10" xfId="0" applyBorder="1" applyAlignment="1">
      <alignment wrapText="1"/>
    </xf>
    <xf numFmtId="4" fontId="0" fillId="0" borderId="16" xfId="0" applyNumberFormat="1" applyBorder="1" applyAlignment="1">
      <alignment/>
    </xf>
    <xf numFmtId="2" fontId="0" fillId="0" borderId="17" xfId="0" applyNumberFormat="1" applyBorder="1" applyAlignment="1">
      <alignment/>
    </xf>
    <xf numFmtId="2" fontId="0" fillId="0" borderId="10" xfId="0" applyNumberFormat="1" applyBorder="1" applyAlignment="1">
      <alignment wrapText="1"/>
    </xf>
    <xf numFmtId="4" fontId="0" fillId="0" borderId="24" xfId="0" applyNumberFormat="1" applyBorder="1" applyAlignment="1">
      <alignment/>
    </xf>
    <xf numFmtId="4" fontId="0" fillId="0" borderId="25" xfId="0" applyNumberFormat="1" applyBorder="1" applyAlignment="1">
      <alignment/>
    </xf>
    <xf numFmtId="0" fontId="0" fillId="0" borderId="26" xfId="0" applyBorder="1" applyAlignment="1">
      <alignment wrapText="1"/>
    </xf>
    <xf numFmtId="0" fontId="0" fillId="0" borderId="18" xfId="0" applyBorder="1" applyAlignment="1">
      <alignment wrapText="1"/>
    </xf>
    <xf numFmtId="2" fontId="0" fillId="0" borderId="0" xfId="0" applyNumberFormat="1" applyAlignment="1">
      <alignment/>
    </xf>
    <xf numFmtId="0" fontId="2" fillId="0" borderId="0" xfId="0" applyFont="1" applyAlignment="1">
      <alignment wrapText="1"/>
    </xf>
    <xf numFmtId="4" fontId="2" fillId="0" borderId="25" xfId="0" applyNumberFormat="1" applyFont="1" applyBorder="1" applyAlignment="1">
      <alignment/>
    </xf>
    <xf numFmtId="4" fontId="0" fillId="0" borderId="27" xfId="0" applyNumberFormat="1" applyBorder="1" applyAlignment="1">
      <alignment/>
    </xf>
    <xf numFmtId="4" fontId="0" fillId="0" borderId="28" xfId="0" applyNumberFormat="1" applyBorder="1" applyAlignment="1">
      <alignment/>
    </xf>
    <xf numFmtId="4" fontId="0" fillId="0" borderId="17" xfId="0" applyNumberFormat="1" applyBorder="1" applyAlignment="1">
      <alignment/>
    </xf>
    <xf numFmtId="4" fontId="0" fillId="0" borderId="19" xfId="0" applyNumberFormat="1" applyBorder="1" applyAlignment="1">
      <alignment/>
    </xf>
    <xf numFmtId="171" fontId="0" fillId="0" borderId="0" xfId="0" applyNumberFormat="1" applyAlignment="1">
      <alignment/>
    </xf>
    <xf numFmtId="0" fontId="0" fillId="0" borderId="0" xfId="0" applyBorder="1" applyAlignment="1">
      <alignment wrapText="1"/>
    </xf>
    <xf numFmtId="0" fontId="0" fillId="0" borderId="0" xfId="0" applyBorder="1" applyAlignment="1">
      <alignment/>
    </xf>
    <xf numFmtId="0" fontId="2" fillId="0" borderId="0" xfId="0" applyFont="1" applyBorder="1" applyAlignment="1">
      <alignment wrapText="1"/>
    </xf>
    <xf numFmtId="0" fontId="2" fillId="0" borderId="28" xfId="0" applyFont="1" applyBorder="1" applyAlignment="1">
      <alignment wrapText="1"/>
    </xf>
    <xf numFmtId="0" fontId="2" fillId="0" borderId="0" xfId="0" applyFont="1" applyAlignment="1">
      <alignment/>
    </xf>
    <xf numFmtId="0" fontId="0" fillId="0" borderId="10" xfId="0" applyBorder="1" applyAlignment="1">
      <alignment horizontal="left"/>
    </xf>
    <xf numFmtId="4" fontId="0" fillId="33" borderId="24" xfId="0" applyNumberFormat="1" applyFill="1" applyBorder="1" applyAlignment="1">
      <alignment/>
    </xf>
    <xf numFmtId="0" fontId="0" fillId="0" borderId="0" xfId="0" applyAlignment="1">
      <alignment horizontal="right"/>
    </xf>
    <xf numFmtId="0" fontId="0" fillId="36" borderId="26" xfId="0" applyFill="1" applyBorder="1" applyAlignment="1">
      <alignment wrapText="1"/>
    </xf>
    <xf numFmtId="4" fontId="0" fillId="36" borderId="27" xfId="0" applyNumberFormat="1" applyFill="1" applyBorder="1" applyAlignment="1">
      <alignment/>
    </xf>
    <xf numFmtId="4" fontId="0" fillId="33" borderId="27" xfId="0" applyNumberFormat="1" applyFill="1" applyBorder="1" applyAlignment="1">
      <alignment/>
    </xf>
    <xf numFmtId="4" fontId="0" fillId="36" borderId="28" xfId="0" applyNumberFormat="1" applyFill="1" applyBorder="1" applyAlignment="1">
      <alignment/>
    </xf>
    <xf numFmtId="0" fontId="2" fillId="0" borderId="14" xfId="0" applyFont="1" applyBorder="1" applyAlignment="1">
      <alignment wrapText="1"/>
    </xf>
    <xf numFmtId="4" fontId="0" fillId="0" borderId="0" xfId="0" applyNumberFormat="1" applyFill="1" applyAlignment="1">
      <alignment/>
    </xf>
    <xf numFmtId="0" fontId="0" fillId="37" borderId="10" xfId="0" applyFill="1" applyBorder="1" applyAlignment="1">
      <alignment wrapText="1"/>
    </xf>
    <xf numFmtId="4" fontId="0" fillId="37" borderId="16" xfId="0" applyNumberFormat="1" applyFill="1" applyBorder="1" applyAlignment="1">
      <alignment/>
    </xf>
    <xf numFmtId="4" fontId="0" fillId="37" borderId="17" xfId="0" applyNumberFormat="1" applyFill="1" applyBorder="1" applyAlignment="1">
      <alignment/>
    </xf>
    <xf numFmtId="4" fontId="0" fillId="35" borderId="24" xfId="0" applyNumberFormat="1" applyFill="1" applyBorder="1" applyAlignment="1">
      <alignment/>
    </xf>
    <xf numFmtId="0" fontId="2" fillId="0" borderId="0" xfId="0" applyFont="1" applyFill="1" applyBorder="1" applyAlignment="1">
      <alignment wrapText="1"/>
    </xf>
    <xf numFmtId="3" fontId="0" fillId="0" borderId="0" xfId="0" applyNumberFormat="1" applyFill="1" applyBorder="1" applyAlignment="1">
      <alignment/>
    </xf>
    <xf numFmtId="0" fontId="0" fillId="0" borderId="29" xfId="0" applyBorder="1" applyAlignment="1">
      <alignment wrapText="1"/>
    </xf>
    <xf numFmtId="0" fontId="0" fillId="0" borderId="30" xfId="0" applyBorder="1" applyAlignment="1">
      <alignment/>
    </xf>
    <xf numFmtId="179" fontId="0" fillId="0" borderId="0" xfId="0" applyNumberFormat="1" applyAlignment="1">
      <alignment/>
    </xf>
    <xf numFmtId="2" fontId="0" fillId="0" borderId="19" xfId="0" applyNumberFormat="1" applyBorder="1" applyAlignment="1">
      <alignment/>
    </xf>
    <xf numFmtId="2" fontId="0" fillId="0" borderId="28" xfId="0" applyNumberFormat="1" applyBorder="1" applyAlignment="1">
      <alignment/>
    </xf>
    <xf numFmtId="2" fontId="0" fillId="0" borderId="18" xfId="0" applyNumberFormat="1" applyFill="1" applyBorder="1" applyAlignment="1">
      <alignment wrapText="1"/>
    </xf>
    <xf numFmtId="177" fontId="0" fillId="0" borderId="16" xfId="0" applyNumberFormat="1" applyBorder="1" applyAlignment="1">
      <alignment/>
    </xf>
    <xf numFmtId="177" fontId="0" fillId="0" borderId="24" xfId="0" applyNumberFormat="1" applyBorder="1" applyAlignment="1">
      <alignment/>
    </xf>
    <xf numFmtId="3" fontId="0" fillId="0" borderId="10" xfId="0" applyNumberFormat="1" applyFill="1" applyBorder="1" applyAlignment="1">
      <alignment/>
    </xf>
    <xf numFmtId="3" fontId="0" fillId="0" borderId="10" xfId="0" applyNumberFormat="1" applyBorder="1" applyAlignment="1">
      <alignment/>
    </xf>
    <xf numFmtId="177" fontId="0" fillId="0" borderId="31" xfId="0" applyNumberFormat="1" applyBorder="1" applyAlignment="1">
      <alignment/>
    </xf>
    <xf numFmtId="4" fontId="0" fillId="0" borderId="32" xfId="0" applyNumberFormat="1" applyBorder="1" applyAlignment="1">
      <alignment/>
    </xf>
    <xf numFmtId="4" fontId="2" fillId="0" borderId="15" xfId="0" applyNumberFormat="1" applyFont="1" applyBorder="1" applyAlignment="1">
      <alignment/>
    </xf>
    <xf numFmtId="0" fontId="2" fillId="0" borderId="20" xfId="0" applyFont="1" applyBorder="1" applyAlignment="1">
      <alignment wrapText="1"/>
    </xf>
    <xf numFmtId="4" fontId="2" fillId="0" borderId="21" xfId="0" applyNumberFormat="1" applyFont="1" applyBorder="1" applyAlignment="1">
      <alignment/>
    </xf>
    <xf numFmtId="2" fontId="2" fillId="0" borderId="22" xfId="0" applyNumberFormat="1" applyFont="1" applyFill="1" applyBorder="1" applyAlignment="1">
      <alignment/>
    </xf>
    <xf numFmtId="0" fontId="0" fillId="33" borderId="29" xfId="0" applyFill="1" applyBorder="1" applyAlignment="1">
      <alignment wrapText="1"/>
    </xf>
    <xf numFmtId="4" fontId="0" fillId="33" borderId="29" xfId="0" applyNumberFormat="1" applyFill="1" applyBorder="1" applyAlignment="1">
      <alignment/>
    </xf>
    <xf numFmtId="1" fontId="0" fillId="0" borderId="16" xfId="0" applyNumberFormat="1" applyBorder="1" applyAlignment="1">
      <alignment/>
    </xf>
    <xf numFmtId="1" fontId="0" fillId="0" borderId="24" xfId="0" applyNumberFormat="1" applyBorder="1" applyAlignment="1">
      <alignment/>
    </xf>
    <xf numFmtId="4" fontId="0" fillId="0" borderId="17" xfId="0" applyNumberFormat="1" applyFill="1" applyBorder="1" applyAlignment="1">
      <alignment/>
    </xf>
    <xf numFmtId="4" fontId="0" fillId="0" borderId="33" xfId="0" applyNumberFormat="1" applyBorder="1" applyAlignment="1">
      <alignment/>
    </xf>
    <xf numFmtId="0" fontId="0" fillId="0" borderId="33" xfId="0" applyBorder="1" applyAlignment="1">
      <alignment wrapText="1"/>
    </xf>
    <xf numFmtId="4" fontId="0" fillId="0" borderId="34" xfId="0" applyNumberFormat="1" applyBorder="1" applyAlignment="1">
      <alignment/>
    </xf>
    <xf numFmtId="4" fontId="0" fillId="0" borderId="35" xfId="0" applyNumberFormat="1" applyBorder="1" applyAlignment="1">
      <alignment/>
    </xf>
    <xf numFmtId="4" fontId="2" fillId="0" borderId="29" xfId="0" applyNumberFormat="1" applyFont="1" applyBorder="1" applyAlignment="1">
      <alignment/>
    </xf>
    <xf numFmtId="179" fontId="0" fillId="0" borderId="27" xfId="0" applyNumberFormat="1" applyBorder="1" applyAlignment="1">
      <alignment/>
    </xf>
    <xf numFmtId="0" fontId="0" fillId="0" borderId="33" xfId="0" applyBorder="1" applyAlignment="1">
      <alignment/>
    </xf>
    <xf numFmtId="4" fontId="2" fillId="0" borderId="29" xfId="0" applyNumberFormat="1" applyFont="1" applyFill="1" applyBorder="1" applyAlignment="1">
      <alignment/>
    </xf>
    <xf numFmtId="0" fontId="0" fillId="0" borderId="35" xfId="0" applyBorder="1" applyAlignment="1">
      <alignment/>
    </xf>
    <xf numFmtId="0" fontId="0" fillId="0" borderId="34" xfId="0" applyBorder="1" applyAlignment="1">
      <alignment/>
    </xf>
    <xf numFmtId="0" fontId="0" fillId="0" borderId="0" xfId="0" applyAlignment="1">
      <alignment/>
    </xf>
    <xf numFmtId="0" fontId="2" fillId="0" borderId="29" xfId="0" applyFont="1" applyBorder="1" applyAlignment="1">
      <alignment wrapText="1"/>
    </xf>
    <xf numFmtId="0" fontId="10" fillId="0" borderId="29" xfId="54" applyFont="1" applyBorder="1" applyAlignment="1" applyProtection="1">
      <alignment wrapText="1"/>
      <protection/>
    </xf>
    <xf numFmtId="0" fontId="0" fillId="0" borderId="29" xfId="0" applyBorder="1" applyAlignment="1">
      <alignment horizontal="right" wrapText="1"/>
    </xf>
    <xf numFmtId="3" fontId="0" fillId="0" borderId="29" xfId="0" applyNumberFormat="1" applyBorder="1" applyAlignment="1">
      <alignment horizontal="right" wrapText="1"/>
    </xf>
    <xf numFmtId="2" fontId="0" fillId="0" borderId="29" xfId="0" applyNumberFormat="1" applyBorder="1" applyAlignment="1">
      <alignment wrapText="1"/>
    </xf>
    <xf numFmtId="2" fontId="0" fillId="0" borderId="29" xfId="0" applyNumberFormat="1" applyFill="1" applyBorder="1" applyAlignment="1">
      <alignment wrapText="1"/>
    </xf>
    <xf numFmtId="2" fontId="2" fillId="0" borderId="0" xfId="0" applyNumberFormat="1" applyFont="1" applyFill="1" applyBorder="1" applyAlignment="1">
      <alignment/>
    </xf>
    <xf numFmtId="4" fontId="0" fillId="0" borderId="15" xfId="0" applyNumberFormat="1" applyFont="1" applyBorder="1" applyAlignment="1">
      <alignment wrapText="1"/>
    </xf>
    <xf numFmtId="1" fontId="0" fillId="0" borderId="0" xfId="0" applyNumberFormat="1" applyBorder="1" applyAlignment="1">
      <alignment/>
    </xf>
    <xf numFmtId="4" fontId="0" fillId="0" borderId="0" xfId="0" applyNumberFormat="1" applyBorder="1" applyAlignment="1">
      <alignment/>
    </xf>
    <xf numFmtId="0" fontId="0" fillId="0" borderId="11" xfId="0" applyBorder="1" applyAlignment="1">
      <alignment wrapText="1"/>
    </xf>
    <xf numFmtId="3" fontId="0" fillId="0" borderId="12" xfId="0" applyNumberFormat="1" applyBorder="1" applyAlignment="1">
      <alignment/>
    </xf>
    <xf numFmtId="0" fontId="0" fillId="0" borderId="30" xfId="0" applyFont="1" applyFill="1" applyBorder="1" applyAlignment="1">
      <alignment wrapText="1"/>
    </xf>
    <xf numFmtId="0" fontId="0" fillId="0" borderId="36" xfId="0" applyBorder="1" applyAlignment="1">
      <alignment/>
    </xf>
    <xf numFmtId="0" fontId="0" fillId="0" borderId="37" xfId="0" applyFont="1" applyFill="1" applyBorder="1" applyAlignment="1">
      <alignment wrapText="1"/>
    </xf>
    <xf numFmtId="3" fontId="0" fillId="0" borderId="38" xfId="0" applyNumberFormat="1" applyFill="1" applyBorder="1" applyAlignment="1">
      <alignment/>
    </xf>
    <xf numFmtId="0" fontId="0" fillId="0" borderId="39" xfId="0" applyBorder="1" applyAlignment="1">
      <alignment/>
    </xf>
    <xf numFmtId="0" fontId="11" fillId="0" borderId="26" xfId="60" applyFont="1" applyBorder="1" applyAlignment="1">
      <alignment/>
      <protection/>
    </xf>
    <xf numFmtId="165" fontId="12" fillId="0" borderId="27" xfId="60" applyNumberFormat="1" applyBorder="1" applyAlignment="1">
      <alignment wrapText="1"/>
      <protection/>
    </xf>
    <xf numFmtId="165" fontId="12" fillId="0" borderId="28" xfId="60" applyNumberFormat="1" applyBorder="1" applyAlignment="1">
      <alignment wrapText="1"/>
      <protection/>
    </xf>
    <xf numFmtId="0" fontId="12" fillId="0" borderId="0" xfId="60" applyAlignment="1">
      <alignment wrapText="1"/>
      <protection/>
    </xf>
    <xf numFmtId="0" fontId="12" fillId="0" borderId="10" xfId="60" applyBorder="1" applyAlignment="1">
      <alignment wrapText="1"/>
      <protection/>
    </xf>
    <xf numFmtId="1" fontId="12" fillId="0" borderId="16" xfId="60" applyNumberFormat="1" applyBorder="1" applyAlignment="1">
      <alignment wrapText="1"/>
      <protection/>
    </xf>
    <xf numFmtId="165" fontId="12" fillId="0" borderId="17" xfId="60" applyNumberFormat="1" applyBorder="1" applyAlignment="1">
      <alignment wrapText="1"/>
      <protection/>
    </xf>
    <xf numFmtId="0" fontId="12" fillId="0" borderId="30" xfId="60" applyBorder="1" applyAlignment="1">
      <alignment wrapText="1"/>
      <protection/>
    </xf>
    <xf numFmtId="0" fontId="12" fillId="0" borderId="0" xfId="60" applyBorder="1" applyAlignment="1">
      <alignment wrapText="1"/>
      <protection/>
    </xf>
    <xf numFmtId="0" fontId="12" fillId="0" borderId="18" xfId="60" applyBorder="1" applyAlignment="1">
      <alignment wrapText="1"/>
      <protection/>
    </xf>
    <xf numFmtId="1" fontId="12" fillId="0" borderId="24" xfId="60" applyNumberFormat="1" applyBorder="1" applyAlignment="1">
      <alignment wrapText="1"/>
      <protection/>
    </xf>
    <xf numFmtId="165" fontId="12" fillId="0" borderId="19" xfId="60" applyNumberFormat="1" applyBorder="1" applyAlignment="1">
      <alignment wrapText="1"/>
      <protection/>
    </xf>
    <xf numFmtId="0" fontId="12" fillId="0" borderId="23" xfId="60" applyBorder="1" applyAlignment="1">
      <alignment wrapText="1"/>
      <protection/>
    </xf>
    <xf numFmtId="1" fontId="12" fillId="0" borderId="31" xfId="60" applyNumberFormat="1" applyBorder="1" applyAlignment="1">
      <alignment wrapText="1"/>
      <protection/>
    </xf>
    <xf numFmtId="165" fontId="12" fillId="0" borderId="40" xfId="60" applyNumberFormat="1" applyBorder="1" applyAlignment="1">
      <alignment wrapText="1"/>
      <protection/>
    </xf>
    <xf numFmtId="0" fontId="13" fillId="0" borderId="26" xfId="59" applyFont="1" applyBorder="1">
      <alignment/>
      <protection/>
    </xf>
    <xf numFmtId="0" fontId="5" fillId="0" borderId="27" xfId="59" applyBorder="1">
      <alignment/>
      <protection/>
    </xf>
    <xf numFmtId="0" fontId="5" fillId="0" borderId="28" xfId="59" applyBorder="1">
      <alignment/>
      <protection/>
    </xf>
    <xf numFmtId="0" fontId="5" fillId="0" borderId="10" xfId="59" applyBorder="1">
      <alignment/>
      <protection/>
    </xf>
    <xf numFmtId="0" fontId="5" fillId="0" borderId="16" xfId="59" applyBorder="1">
      <alignment/>
      <protection/>
    </xf>
    <xf numFmtId="3" fontId="0" fillId="0" borderId="16" xfId="59" applyNumberFormat="1" applyFont="1" applyBorder="1" applyProtection="1">
      <alignment/>
      <protection locked="0"/>
    </xf>
    <xf numFmtId="0" fontId="5" fillId="0" borderId="17" xfId="59" applyBorder="1">
      <alignment/>
      <protection/>
    </xf>
    <xf numFmtId="9" fontId="0" fillId="0" borderId="16" xfId="59" applyNumberFormat="1" applyFont="1" applyBorder="1" applyProtection="1">
      <alignment/>
      <protection locked="0"/>
    </xf>
    <xf numFmtId="0" fontId="2" fillId="0" borderId="16" xfId="59" applyFont="1" applyBorder="1">
      <alignment/>
      <protection/>
    </xf>
    <xf numFmtId="0" fontId="0" fillId="0" borderId="16" xfId="59" applyFont="1" applyBorder="1">
      <alignment/>
      <protection/>
    </xf>
    <xf numFmtId="0" fontId="13" fillId="0" borderId="10" xfId="59" applyFont="1" applyBorder="1">
      <alignment/>
      <protection/>
    </xf>
    <xf numFmtId="2" fontId="0" fillId="0" borderId="16" xfId="59" applyNumberFormat="1" applyFont="1" applyFill="1" applyBorder="1">
      <alignment/>
      <protection/>
    </xf>
    <xf numFmtId="1" fontId="12" fillId="0" borderId="16" xfId="60" applyNumberFormat="1" applyFont="1" applyBorder="1" applyAlignment="1">
      <alignment wrapText="1"/>
      <protection/>
    </xf>
    <xf numFmtId="0" fontId="12" fillId="0" borderId="17" xfId="60" applyBorder="1" applyAlignment="1">
      <alignment wrapText="1"/>
      <protection/>
    </xf>
    <xf numFmtId="0" fontId="12" fillId="0" borderId="16" xfId="60" applyBorder="1" applyAlignment="1">
      <alignment wrapText="1"/>
      <protection/>
    </xf>
    <xf numFmtId="0" fontId="12" fillId="0" borderId="16" xfId="60" applyFont="1" applyBorder="1" applyAlignment="1">
      <alignment wrapText="1"/>
      <protection/>
    </xf>
    <xf numFmtId="0" fontId="11" fillId="0" borderId="10" xfId="60" applyFont="1" applyBorder="1" applyAlignment="1">
      <alignment wrapText="1"/>
      <protection/>
    </xf>
    <xf numFmtId="0" fontId="5" fillId="0" borderId="24" xfId="59" applyBorder="1">
      <alignment/>
      <protection/>
    </xf>
    <xf numFmtId="1" fontId="2" fillId="0" borderId="24" xfId="59" applyNumberFormat="1" applyFont="1" applyBorder="1">
      <alignment/>
      <protection/>
    </xf>
    <xf numFmtId="0" fontId="12" fillId="0" borderId="19" xfId="60" applyBorder="1" applyAlignment="1">
      <alignment wrapText="1"/>
      <protection/>
    </xf>
    <xf numFmtId="0" fontId="5" fillId="0" borderId="0" xfId="59" applyBorder="1">
      <alignment/>
      <protection/>
    </xf>
    <xf numFmtId="0" fontId="2" fillId="0" borderId="0" xfId="59" applyFont="1" applyBorder="1">
      <alignment/>
      <protection/>
    </xf>
    <xf numFmtId="0" fontId="11" fillId="0" borderId="0" xfId="60" applyFont="1" applyAlignment="1">
      <alignment/>
      <protection/>
    </xf>
    <xf numFmtId="0" fontId="11" fillId="0" borderId="26" xfId="60" applyFont="1" applyBorder="1" applyAlignment="1">
      <alignment wrapText="1"/>
      <protection/>
    </xf>
    <xf numFmtId="165" fontId="11" fillId="0" borderId="27" xfId="60" applyNumberFormat="1" applyFont="1" applyBorder="1" applyAlignment="1">
      <alignment wrapText="1"/>
      <protection/>
    </xf>
    <xf numFmtId="0" fontId="11" fillId="0" borderId="28" xfId="60" applyFont="1" applyBorder="1" applyAlignment="1">
      <alignment wrapText="1"/>
      <protection/>
    </xf>
    <xf numFmtId="165" fontId="12" fillId="0" borderId="16" xfId="60" applyNumberFormat="1" applyBorder="1" applyAlignment="1">
      <alignment wrapText="1"/>
      <protection/>
    </xf>
    <xf numFmtId="165" fontId="12" fillId="0" borderId="24" xfId="60" applyNumberFormat="1" applyBorder="1" applyAlignment="1">
      <alignment wrapText="1"/>
      <protection/>
    </xf>
    <xf numFmtId="0" fontId="12" fillId="0" borderId="0" xfId="60" applyAlignment="1">
      <alignment/>
      <protection/>
    </xf>
    <xf numFmtId="165" fontId="12" fillId="0" borderId="0" xfId="60" applyNumberFormat="1" applyAlignment="1">
      <alignment/>
      <protection/>
    </xf>
    <xf numFmtId="0" fontId="2" fillId="0" borderId="13" xfId="0" applyFont="1" applyBorder="1" applyAlignment="1">
      <alignment wrapText="1"/>
    </xf>
    <xf numFmtId="0" fontId="0" fillId="0" borderId="30" xfId="0" applyBorder="1" applyAlignment="1">
      <alignment wrapText="1"/>
    </xf>
    <xf numFmtId="4" fontId="0" fillId="0" borderId="36" xfId="0" applyNumberFormat="1" applyBorder="1" applyAlignment="1">
      <alignment/>
    </xf>
    <xf numFmtId="0" fontId="0" fillId="0" borderId="37" xfId="0" applyBorder="1" applyAlignment="1">
      <alignment wrapText="1"/>
    </xf>
    <xf numFmtId="4" fontId="0" fillId="0" borderId="39" xfId="0" applyNumberFormat="1" applyBorder="1" applyAlignment="1">
      <alignment/>
    </xf>
    <xf numFmtId="0" fontId="0" fillId="0" borderId="20" xfId="0" applyBorder="1" applyAlignment="1">
      <alignment wrapText="1"/>
    </xf>
    <xf numFmtId="180" fontId="0" fillId="0" borderId="21" xfId="0" applyNumberFormat="1" applyBorder="1" applyAlignment="1">
      <alignment/>
    </xf>
    <xf numFmtId="4" fontId="0" fillId="0" borderId="22" xfId="0" applyNumberFormat="1" applyBorder="1" applyAlignment="1">
      <alignment/>
    </xf>
    <xf numFmtId="0" fontId="0" fillId="0" borderId="0" xfId="0" applyFont="1" applyAlignment="1">
      <alignment/>
    </xf>
    <xf numFmtId="0" fontId="0" fillId="0" borderId="0" xfId="0" applyFont="1" applyAlignment="1">
      <alignment wrapText="1"/>
    </xf>
    <xf numFmtId="14" fontId="0" fillId="0" borderId="0" xfId="0" applyNumberFormat="1" applyAlignment="1">
      <alignment/>
    </xf>
    <xf numFmtId="0" fontId="0" fillId="0" borderId="0" xfId="58">
      <alignment/>
      <protection/>
    </xf>
    <xf numFmtId="0" fontId="0" fillId="0" borderId="0" xfId="58" applyAlignment="1">
      <alignment horizontal="left"/>
      <protection/>
    </xf>
    <xf numFmtId="0" fontId="0" fillId="0" borderId="0" xfId="58" applyAlignment="1">
      <alignment horizontal="right"/>
      <protection/>
    </xf>
    <xf numFmtId="3" fontId="0" fillId="0" borderId="0" xfId="58" applyNumberFormat="1">
      <alignment/>
      <protection/>
    </xf>
    <xf numFmtId="0" fontId="0" fillId="0" borderId="0" xfId="58" applyBorder="1">
      <alignment/>
      <protection/>
    </xf>
    <xf numFmtId="0" fontId="0" fillId="0" borderId="0" xfId="58" applyBorder="1" applyAlignment="1">
      <alignment horizontal="left"/>
      <protection/>
    </xf>
    <xf numFmtId="0" fontId="0" fillId="0" borderId="0" xfId="58" applyBorder="1" applyAlignment="1">
      <alignment horizontal="right"/>
      <protection/>
    </xf>
    <xf numFmtId="3" fontId="0" fillId="0" borderId="0" xfId="58" applyNumberFormat="1" applyBorder="1">
      <alignment/>
      <protection/>
    </xf>
    <xf numFmtId="173" fontId="0" fillId="0" borderId="0" xfId="58" applyNumberFormat="1" applyBorder="1">
      <alignment/>
      <protection/>
    </xf>
    <xf numFmtId="4" fontId="0" fillId="0" borderId="28" xfId="58" applyNumberFormat="1" applyBorder="1">
      <alignment/>
      <protection/>
    </xf>
    <xf numFmtId="3" fontId="0" fillId="0" borderId="26" xfId="58" applyNumberFormat="1" applyBorder="1" applyAlignment="1">
      <alignment horizontal="right" wrapText="1"/>
      <protection/>
    </xf>
    <xf numFmtId="3" fontId="0" fillId="0" borderId="0" xfId="58" applyNumberFormat="1" applyBorder="1" applyAlignment="1">
      <alignment horizontal="right"/>
      <protection/>
    </xf>
    <xf numFmtId="164" fontId="0" fillId="0" borderId="0" xfId="58" applyNumberFormat="1" applyBorder="1">
      <alignment/>
      <protection/>
    </xf>
    <xf numFmtId="0" fontId="9" fillId="0" borderId="0" xfId="58" applyFont="1" applyBorder="1" applyAlignment="1">
      <alignment/>
      <protection/>
    </xf>
    <xf numFmtId="3" fontId="2" fillId="0" borderId="0" xfId="58" applyNumberFormat="1" applyFont="1" applyBorder="1">
      <alignment/>
      <protection/>
    </xf>
    <xf numFmtId="0" fontId="0" fillId="0" borderId="0" xfId="58" applyFill="1" applyBorder="1">
      <alignment/>
      <protection/>
    </xf>
    <xf numFmtId="0" fontId="0" fillId="0" borderId="0" xfId="58" applyBorder="1" applyAlignment="1">
      <alignment horizontal="center"/>
      <protection/>
    </xf>
    <xf numFmtId="3" fontId="9" fillId="0" borderId="0" xfId="58" applyNumberFormat="1" applyFont="1" applyBorder="1" applyAlignment="1">
      <alignment horizontal="center"/>
      <protection/>
    </xf>
    <xf numFmtId="3" fontId="0" fillId="36" borderId="20" xfId="58" applyNumberFormat="1" applyFill="1" applyBorder="1">
      <alignment/>
      <protection/>
    </xf>
    <xf numFmtId="173" fontId="0" fillId="36" borderId="34" xfId="58" applyNumberFormat="1" applyFill="1" applyBorder="1">
      <alignment/>
      <protection/>
    </xf>
    <xf numFmtId="3" fontId="0" fillId="36" borderId="41" xfId="58" applyNumberFormat="1" applyFill="1" applyBorder="1">
      <alignment/>
      <protection/>
    </xf>
    <xf numFmtId="173" fontId="0" fillId="36" borderId="42" xfId="58" applyNumberFormat="1" applyFill="1" applyBorder="1">
      <alignment/>
      <protection/>
    </xf>
    <xf numFmtId="3" fontId="0" fillId="36" borderId="43" xfId="58" applyNumberFormat="1" applyFill="1" applyBorder="1">
      <alignment/>
      <protection/>
    </xf>
    <xf numFmtId="38" fontId="0" fillId="38" borderId="19" xfId="58" applyNumberFormat="1" applyFill="1" applyBorder="1" applyAlignment="1">
      <alignment horizontal="right"/>
      <protection/>
    </xf>
    <xf numFmtId="38" fontId="0" fillId="38" borderId="24" xfId="58" applyNumberFormat="1" applyFill="1" applyBorder="1">
      <alignment/>
      <protection/>
    </xf>
    <xf numFmtId="38" fontId="0" fillId="38" borderId="18" xfId="58" applyNumberFormat="1" applyFill="1" applyBorder="1">
      <alignment/>
      <protection/>
    </xf>
    <xf numFmtId="3" fontId="0" fillId="38" borderId="28" xfId="58" applyNumberFormat="1" applyFill="1" applyBorder="1">
      <alignment/>
      <protection/>
    </xf>
    <xf numFmtId="3" fontId="0" fillId="38" borderId="31" xfId="58" applyNumberFormat="1" applyFill="1" applyBorder="1">
      <alignment/>
      <protection/>
    </xf>
    <xf numFmtId="3" fontId="0" fillId="38" borderId="27" xfId="58" applyNumberFormat="1" applyFill="1" applyBorder="1">
      <alignment/>
      <protection/>
    </xf>
    <xf numFmtId="3" fontId="0" fillId="38" borderId="26" xfId="58" applyNumberFormat="1" applyFill="1" applyBorder="1">
      <alignment/>
      <protection/>
    </xf>
    <xf numFmtId="0" fontId="2" fillId="0" borderId="0" xfId="58" applyFont="1" applyFill="1" applyBorder="1">
      <alignment/>
      <protection/>
    </xf>
    <xf numFmtId="0" fontId="15" fillId="38" borderId="25" xfId="58" applyFont="1" applyFill="1" applyBorder="1" applyAlignment="1">
      <alignment vertical="top"/>
      <protection/>
    </xf>
    <xf numFmtId="0" fontId="15" fillId="38" borderId="15" xfId="58" applyFont="1" applyFill="1" applyBorder="1" applyAlignment="1">
      <alignment horizontal="center" vertical="top"/>
      <protection/>
    </xf>
    <xf numFmtId="3" fontId="15" fillId="38" borderId="15" xfId="58" applyNumberFormat="1" applyFont="1" applyFill="1" applyBorder="1" applyAlignment="1">
      <alignment horizontal="right" vertical="top"/>
      <protection/>
    </xf>
    <xf numFmtId="3" fontId="15" fillId="38" borderId="14" xfId="58" applyNumberFormat="1" applyFont="1" applyFill="1" applyBorder="1" applyAlignment="1">
      <alignment horizontal="right" wrapText="1"/>
      <protection/>
    </xf>
    <xf numFmtId="0" fontId="16" fillId="0" borderId="0" xfId="58" applyFont="1" applyBorder="1">
      <alignment/>
      <protection/>
    </xf>
    <xf numFmtId="0" fontId="0" fillId="37" borderId="19" xfId="58" applyFill="1" applyBorder="1" applyAlignment="1">
      <alignment horizontal="right"/>
      <protection/>
    </xf>
    <xf numFmtId="38" fontId="0" fillId="37" borderId="24" xfId="58" applyNumberFormat="1" applyFill="1" applyBorder="1">
      <alignment/>
      <protection/>
    </xf>
    <xf numFmtId="3" fontId="0" fillId="37" borderId="24" xfId="58" applyNumberFormat="1" applyFill="1" applyBorder="1">
      <alignment/>
      <protection/>
    </xf>
    <xf numFmtId="3" fontId="0" fillId="37" borderId="18" xfId="58" applyNumberFormat="1" applyFill="1" applyBorder="1">
      <alignment/>
      <protection/>
    </xf>
    <xf numFmtId="0" fontId="0" fillId="37" borderId="32" xfId="58" applyFill="1" applyBorder="1" applyAlignment="1">
      <alignment horizontal="right"/>
      <protection/>
    </xf>
    <xf numFmtId="3" fontId="0" fillId="37" borderId="31" xfId="58" applyNumberFormat="1" applyFill="1" applyBorder="1">
      <alignment/>
      <protection/>
    </xf>
    <xf numFmtId="3" fontId="0" fillId="37" borderId="23" xfId="58" applyNumberFormat="1" applyFill="1" applyBorder="1">
      <alignment/>
      <protection/>
    </xf>
    <xf numFmtId="0" fontId="9" fillId="0" borderId="0" xfId="58" applyFont="1" applyBorder="1">
      <alignment/>
      <protection/>
    </xf>
    <xf numFmtId="0" fontId="15" fillId="37" borderId="25" xfId="58" applyFont="1" applyFill="1" applyBorder="1" applyAlignment="1">
      <alignment vertical="top"/>
      <protection/>
    </xf>
    <xf numFmtId="0" fontId="15" fillId="37" borderId="15" xfId="58" applyFont="1" applyFill="1" applyBorder="1" applyAlignment="1">
      <alignment horizontal="center" vertical="top"/>
      <protection/>
    </xf>
    <xf numFmtId="3" fontId="15" fillId="37" borderId="15" xfId="58" applyNumberFormat="1" applyFont="1" applyFill="1" applyBorder="1" applyAlignment="1">
      <alignment horizontal="right" vertical="top"/>
      <protection/>
    </xf>
    <xf numFmtId="3" fontId="15" fillId="37" borderId="14" xfId="58" applyNumberFormat="1" applyFont="1" applyFill="1" applyBorder="1" applyAlignment="1">
      <alignment wrapText="1"/>
      <protection/>
    </xf>
    <xf numFmtId="0" fontId="0" fillId="37" borderId="44" xfId="58" applyFill="1" applyBorder="1" applyAlignment="1">
      <alignment horizontal="right"/>
      <protection/>
    </xf>
    <xf numFmtId="3" fontId="0" fillId="37" borderId="45" xfId="58" applyNumberFormat="1" applyFill="1" applyBorder="1">
      <alignment/>
      <protection/>
    </xf>
    <xf numFmtId="3" fontId="0" fillId="37" borderId="10" xfId="58" applyNumberFormat="1" applyFill="1" applyBorder="1">
      <alignment/>
      <protection/>
    </xf>
    <xf numFmtId="3" fontId="0" fillId="37" borderId="17" xfId="58" applyNumberFormat="1" applyFill="1" applyBorder="1">
      <alignment/>
      <protection/>
    </xf>
    <xf numFmtId="3" fontId="0" fillId="37" borderId="16" xfId="58" applyNumberFormat="1" applyFill="1" applyBorder="1">
      <alignment/>
      <protection/>
    </xf>
    <xf numFmtId="0" fontId="0" fillId="37" borderId="17" xfId="58" applyFill="1" applyBorder="1" applyAlignment="1">
      <alignment horizontal="right"/>
      <protection/>
    </xf>
    <xf numFmtId="0" fontId="2" fillId="0" borderId="0" xfId="58" applyFont="1" applyFill="1" applyBorder="1" applyAlignment="1">
      <alignment/>
      <protection/>
    </xf>
    <xf numFmtId="3" fontId="0" fillId="37" borderId="32" xfId="58" applyNumberFormat="1" applyFill="1" applyBorder="1">
      <alignment/>
      <protection/>
    </xf>
    <xf numFmtId="0" fontId="0" fillId="37" borderId="25" xfId="58" applyFill="1" applyBorder="1" applyAlignment="1">
      <alignment horizontal="right"/>
      <protection/>
    </xf>
    <xf numFmtId="3" fontId="0" fillId="37" borderId="15" xfId="58" applyNumberFormat="1" applyFill="1" applyBorder="1" applyAlignment="1">
      <alignment wrapText="1"/>
      <protection/>
    </xf>
    <xf numFmtId="3" fontId="0" fillId="37" borderId="15" xfId="58" applyNumberFormat="1" applyFill="1" applyBorder="1">
      <alignment/>
      <protection/>
    </xf>
    <xf numFmtId="3" fontId="2" fillId="37" borderId="14" xfId="58" applyNumberFormat="1" applyFont="1" applyFill="1" applyBorder="1">
      <alignment/>
      <protection/>
    </xf>
    <xf numFmtId="38" fontId="0" fillId="33" borderId="19" xfId="58" applyNumberFormat="1" applyFill="1" applyBorder="1">
      <alignment/>
      <protection/>
    </xf>
    <xf numFmtId="38" fontId="0" fillId="33" borderId="24" xfId="58" applyNumberFormat="1" applyFill="1" applyBorder="1">
      <alignment/>
      <protection/>
    </xf>
    <xf numFmtId="3" fontId="0" fillId="33" borderId="18" xfId="58" applyNumberFormat="1" applyFill="1" applyBorder="1">
      <alignment/>
      <protection/>
    </xf>
    <xf numFmtId="3" fontId="0" fillId="33" borderId="28" xfId="58" applyNumberFormat="1" applyFill="1" applyBorder="1">
      <alignment/>
      <protection/>
    </xf>
    <xf numFmtId="3" fontId="0" fillId="33" borderId="27" xfId="58" applyNumberFormat="1" applyFill="1" applyBorder="1">
      <alignment/>
      <protection/>
    </xf>
    <xf numFmtId="3" fontId="0" fillId="33" borderId="26" xfId="58" applyNumberFormat="1" applyFill="1" applyBorder="1">
      <alignment/>
      <protection/>
    </xf>
    <xf numFmtId="0" fontId="15" fillId="33" borderId="25" xfId="58" applyFont="1" applyFill="1" applyBorder="1">
      <alignment/>
      <protection/>
    </xf>
    <xf numFmtId="0" fontId="15" fillId="33" borderId="15" xfId="58" applyFont="1" applyFill="1" applyBorder="1" applyAlignment="1">
      <alignment horizontal="center"/>
      <protection/>
    </xf>
    <xf numFmtId="3" fontId="15" fillId="33" borderId="15" xfId="58" applyNumberFormat="1" applyFont="1" applyFill="1" applyBorder="1" applyAlignment="1">
      <alignment horizontal="right"/>
      <protection/>
    </xf>
    <xf numFmtId="3" fontId="15" fillId="33" borderId="14" xfId="58" applyNumberFormat="1" applyFont="1" applyFill="1" applyBorder="1" applyAlignment="1">
      <alignment wrapText="1"/>
      <protection/>
    </xf>
    <xf numFmtId="3" fontId="0" fillId="33" borderId="19" xfId="58" applyNumberFormat="1" applyFill="1" applyBorder="1">
      <alignment/>
      <protection/>
    </xf>
    <xf numFmtId="3" fontId="0" fillId="33" borderId="24" xfId="58" applyNumberFormat="1" applyFill="1" applyBorder="1">
      <alignment/>
      <protection/>
    </xf>
    <xf numFmtId="3" fontId="0" fillId="33" borderId="17" xfId="58" applyNumberFormat="1" applyFill="1" applyBorder="1">
      <alignment/>
      <protection/>
    </xf>
    <xf numFmtId="3" fontId="0" fillId="33" borderId="16" xfId="58" applyNumberFormat="1" applyFill="1" applyBorder="1">
      <alignment/>
      <protection/>
    </xf>
    <xf numFmtId="3" fontId="0" fillId="33" borderId="10" xfId="58" applyNumberFormat="1" applyFill="1" applyBorder="1">
      <alignment/>
      <protection/>
    </xf>
    <xf numFmtId="3" fontId="0" fillId="33" borderId="46" xfId="58" applyNumberFormat="1" applyFill="1" applyBorder="1">
      <alignment/>
      <protection/>
    </xf>
    <xf numFmtId="3" fontId="0" fillId="33" borderId="47" xfId="58" applyNumberFormat="1" applyFill="1" applyBorder="1">
      <alignment/>
      <protection/>
    </xf>
    <xf numFmtId="3" fontId="0" fillId="33" borderId="48" xfId="58" applyNumberFormat="1" applyFill="1" applyBorder="1">
      <alignment/>
      <protection/>
    </xf>
    <xf numFmtId="0" fontId="0" fillId="0" borderId="19" xfId="58" applyBorder="1" applyAlignment="1">
      <alignment horizontal="left"/>
      <protection/>
    </xf>
    <xf numFmtId="3" fontId="0" fillId="0" borderId="24" xfId="58" applyNumberFormat="1" applyBorder="1">
      <alignment/>
      <protection/>
    </xf>
    <xf numFmtId="3" fontId="0" fillId="0" borderId="18" xfId="58" applyNumberFormat="1" applyBorder="1">
      <alignment/>
      <protection/>
    </xf>
    <xf numFmtId="0" fontId="0" fillId="0" borderId="17" xfId="58" applyBorder="1" applyAlignment="1">
      <alignment horizontal="left"/>
      <protection/>
    </xf>
    <xf numFmtId="3" fontId="0" fillId="0" borderId="16" xfId="58" applyNumberFormat="1" applyBorder="1">
      <alignment/>
      <protection/>
    </xf>
    <xf numFmtId="3" fontId="0" fillId="0" borderId="10" xfId="58" applyNumberFormat="1" applyBorder="1">
      <alignment/>
      <protection/>
    </xf>
    <xf numFmtId="3" fontId="0" fillId="0" borderId="27" xfId="58" applyNumberFormat="1" applyBorder="1" applyAlignment="1">
      <alignment horizontal="right"/>
      <protection/>
    </xf>
    <xf numFmtId="3" fontId="0" fillId="0" borderId="26" xfId="58" applyNumberFormat="1" applyBorder="1">
      <alignment/>
      <protection/>
    </xf>
    <xf numFmtId="3" fontId="0" fillId="0" borderId="34" xfId="58" applyNumberFormat="1" applyBorder="1" applyAlignment="1">
      <alignment wrapText="1"/>
      <protection/>
    </xf>
    <xf numFmtId="3" fontId="0" fillId="0" borderId="42" xfId="58" applyNumberFormat="1" applyBorder="1">
      <alignment/>
      <protection/>
    </xf>
    <xf numFmtId="3" fontId="0" fillId="0" borderId="0" xfId="58" applyNumberFormat="1" applyFont="1" applyBorder="1" applyAlignment="1">
      <alignment horizontal="right"/>
      <protection/>
    </xf>
    <xf numFmtId="0" fontId="17" fillId="0" borderId="0" xfId="58" applyFont="1" applyFill="1" applyBorder="1" applyAlignment="1">
      <alignment horizontal="left"/>
      <protection/>
    </xf>
    <xf numFmtId="3" fontId="8" fillId="0" borderId="0" xfId="58" applyNumberFormat="1" applyFont="1" applyBorder="1">
      <alignment/>
      <protection/>
    </xf>
    <xf numFmtId="3" fontId="0" fillId="35" borderId="29" xfId="58" applyNumberFormat="1" applyFill="1" applyBorder="1" applyAlignment="1">
      <alignment horizontal="center"/>
      <protection/>
    </xf>
    <xf numFmtId="0" fontId="18" fillId="0" borderId="0" xfId="58" applyFont="1" applyBorder="1">
      <alignment/>
      <protection/>
    </xf>
    <xf numFmtId="3" fontId="19" fillId="0" borderId="0" xfId="58" applyNumberFormat="1" applyFont="1" applyFill="1" applyBorder="1" applyAlignment="1">
      <alignment horizontal="center"/>
      <protection/>
    </xf>
    <xf numFmtId="3" fontId="0" fillId="0" borderId="0" xfId="58" applyNumberFormat="1" applyFill="1" applyBorder="1">
      <alignment/>
      <protection/>
    </xf>
    <xf numFmtId="3" fontId="0" fillId="0" borderId="0" xfId="58" applyNumberFormat="1" applyFill="1" applyBorder="1" applyAlignment="1">
      <alignment horizontal="center"/>
      <protection/>
    </xf>
    <xf numFmtId="3" fontId="0" fillId="0" borderId="0" xfId="58" applyNumberFormat="1" applyFont="1" applyBorder="1">
      <alignment/>
      <protection/>
    </xf>
    <xf numFmtId="3" fontId="14" fillId="0" borderId="0" xfId="58" applyNumberFormat="1" applyFont="1">
      <alignment/>
      <protection/>
    </xf>
    <xf numFmtId="3" fontId="0" fillId="0" borderId="0" xfId="58" applyNumberFormat="1" applyFont="1" applyFill="1" applyBorder="1">
      <alignment/>
      <protection/>
    </xf>
    <xf numFmtId="181" fontId="0" fillId="36" borderId="49" xfId="58" applyNumberFormat="1" applyFill="1" applyBorder="1">
      <alignment/>
      <protection/>
    </xf>
    <xf numFmtId="3" fontId="0" fillId="36" borderId="37" xfId="58" applyNumberFormat="1" applyFill="1" applyBorder="1">
      <alignment/>
      <protection/>
    </xf>
    <xf numFmtId="3" fontId="0" fillId="33" borderId="19" xfId="58" applyNumberFormat="1" applyFill="1" applyBorder="1" applyAlignment="1">
      <alignment horizontal="right"/>
      <protection/>
    </xf>
    <xf numFmtId="3" fontId="0" fillId="33" borderId="24" xfId="58" applyNumberFormat="1" applyFill="1" applyBorder="1" applyAlignment="1">
      <alignment horizontal="right"/>
      <protection/>
    </xf>
    <xf numFmtId="3" fontId="0" fillId="33" borderId="28" xfId="58" applyNumberFormat="1" applyFill="1" applyBorder="1" applyAlignment="1">
      <alignment horizontal="right"/>
      <protection/>
    </xf>
    <xf numFmtId="3" fontId="0" fillId="33" borderId="27" xfId="58" applyNumberFormat="1" applyFill="1" applyBorder="1" applyAlignment="1">
      <alignment horizontal="right"/>
      <protection/>
    </xf>
    <xf numFmtId="3" fontId="0" fillId="33" borderId="25" xfId="58" applyNumberFormat="1" applyFill="1" applyBorder="1" applyAlignment="1">
      <alignment horizontal="right"/>
      <protection/>
    </xf>
    <xf numFmtId="3" fontId="0" fillId="0" borderId="18" xfId="58" applyNumberFormat="1" applyBorder="1" applyAlignment="1">
      <alignment horizontal="right"/>
      <protection/>
    </xf>
    <xf numFmtId="3" fontId="0" fillId="0" borderId="16" xfId="58" applyNumberFormat="1" applyBorder="1" applyAlignment="1">
      <alignment horizontal="right"/>
      <protection/>
    </xf>
    <xf numFmtId="3" fontId="0" fillId="0" borderId="10" xfId="58" applyNumberFormat="1" applyBorder="1" applyAlignment="1">
      <alignment horizontal="right"/>
      <protection/>
    </xf>
    <xf numFmtId="0" fontId="0" fillId="0" borderId="28" xfId="58" applyBorder="1" applyAlignment="1">
      <alignment horizontal="left"/>
      <protection/>
    </xf>
    <xf numFmtId="3" fontId="0" fillId="0" borderId="34" xfId="58" applyNumberFormat="1" applyBorder="1" applyAlignment="1">
      <alignment horizontal="right"/>
      <protection/>
    </xf>
    <xf numFmtId="3" fontId="0" fillId="0" borderId="42" xfId="58" applyNumberFormat="1" applyBorder="1" applyAlignment="1">
      <alignment horizontal="right"/>
      <protection/>
    </xf>
    <xf numFmtId="164" fontId="0" fillId="35" borderId="29" xfId="58" applyNumberFormat="1" applyFill="1" applyBorder="1" applyAlignment="1">
      <alignment horizontal="center"/>
      <protection/>
    </xf>
    <xf numFmtId="3" fontId="0" fillId="0" borderId="29" xfId="58" applyNumberFormat="1" applyFont="1" applyBorder="1" applyAlignment="1">
      <alignment horizontal="right" wrapText="1"/>
      <protection/>
    </xf>
    <xf numFmtId="3" fontId="17" fillId="0" borderId="0" xfId="58" applyNumberFormat="1" applyFont="1" applyFill="1" applyBorder="1" applyAlignment="1">
      <alignment horizontal="center"/>
      <protection/>
    </xf>
    <xf numFmtId="182" fontId="0" fillId="0" borderId="0" xfId="58" applyNumberFormat="1" applyBorder="1">
      <alignment/>
      <protection/>
    </xf>
    <xf numFmtId="3" fontId="0" fillId="33" borderId="22" xfId="58" applyNumberFormat="1" applyFill="1" applyBorder="1">
      <alignment/>
      <protection/>
    </xf>
    <xf numFmtId="164" fontId="0" fillId="33" borderId="21" xfId="58" applyNumberFormat="1" applyFill="1" applyBorder="1">
      <alignment/>
      <protection/>
    </xf>
    <xf numFmtId="3" fontId="0" fillId="33" borderId="20" xfId="58" applyNumberFormat="1" applyFill="1" applyBorder="1" applyAlignment="1">
      <alignment horizontal="right"/>
      <protection/>
    </xf>
    <xf numFmtId="3" fontId="0" fillId="33" borderId="18" xfId="58" applyNumberFormat="1" applyFill="1" applyBorder="1" applyAlignment="1">
      <alignment horizontal="right"/>
      <protection/>
    </xf>
    <xf numFmtId="3" fontId="20" fillId="0" borderId="0" xfId="58" applyNumberFormat="1" applyFont="1" applyBorder="1">
      <alignment/>
      <protection/>
    </xf>
    <xf numFmtId="3" fontId="0" fillId="0" borderId="27" xfId="58" applyNumberFormat="1" applyBorder="1">
      <alignment/>
      <protection/>
    </xf>
    <xf numFmtId="164" fontId="0" fillId="0" borderId="24" xfId="58" applyNumberFormat="1" applyFill="1" applyBorder="1">
      <alignment/>
      <protection/>
    </xf>
    <xf numFmtId="164" fontId="0" fillId="0" borderId="16" xfId="58" applyNumberFormat="1" applyFill="1" applyBorder="1">
      <alignment/>
      <protection/>
    </xf>
    <xf numFmtId="3" fontId="2" fillId="35" borderId="29" xfId="58" applyNumberFormat="1" applyFont="1" applyFill="1" applyBorder="1" applyAlignment="1">
      <alignment horizontal="left"/>
      <protection/>
    </xf>
    <xf numFmtId="164" fontId="0" fillId="33" borderId="50" xfId="58" applyNumberFormat="1" applyFill="1" applyBorder="1" applyAlignment="1">
      <alignment horizontal="right"/>
      <protection/>
    </xf>
    <xf numFmtId="3" fontId="2" fillId="0" borderId="0" xfId="58" applyNumberFormat="1" applyFont="1">
      <alignment/>
      <protection/>
    </xf>
    <xf numFmtId="0" fontId="0" fillId="0" borderId="0" xfId="58" applyAlignment="1">
      <alignment horizontal="center"/>
      <protection/>
    </xf>
    <xf numFmtId="9" fontId="0" fillId="0" borderId="0" xfId="58" applyNumberFormat="1">
      <alignment/>
      <protection/>
    </xf>
    <xf numFmtId="0" fontId="2" fillId="0" borderId="0" xfId="58" applyFont="1">
      <alignment/>
      <protection/>
    </xf>
    <xf numFmtId="0" fontId="0" fillId="0" borderId="0" xfId="58" applyAlignment="1">
      <alignment wrapText="1"/>
      <protection/>
    </xf>
    <xf numFmtId="0" fontId="0" fillId="0" borderId="0" xfId="58" applyAlignment="1">
      <alignment/>
      <protection/>
    </xf>
    <xf numFmtId="0" fontId="2" fillId="0" borderId="0" xfId="58" applyFont="1" applyAlignment="1">
      <alignment wrapText="1"/>
      <protection/>
    </xf>
    <xf numFmtId="2" fontId="0" fillId="0" borderId="0" xfId="58" applyNumberFormat="1">
      <alignment/>
      <protection/>
    </xf>
    <xf numFmtId="0" fontId="0" fillId="0" borderId="18" xfId="58" applyBorder="1" applyAlignment="1">
      <alignment wrapText="1"/>
      <protection/>
    </xf>
    <xf numFmtId="0" fontId="0" fillId="0" borderId="10" xfId="58" applyBorder="1" applyAlignment="1">
      <alignment wrapText="1"/>
      <protection/>
    </xf>
    <xf numFmtId="0" fontId="0" fillId="0" borderId="23" xfId="58" applyBorder="1" applyAlignment="1">
      <alignment wrapText="1"/>
      <protection/>
    </xf>
    <xf numFmtId="0" fontId="0" fillId="0" borderId="14" xfId="58" applyBorder="1" applyAlignment="1">
      <alignment wrapText="1"/>
      <protection/>
    </xf>
    <xf numFmtId="2" fontId="0" fillId="0" borderId="17" xfId="58" applyNumberFormat="1" applyBorder="1">
      <alignment/>
      <protection/>
    </xf>
    <xf numFmtId="0" fontId="0" fillId="0" borderId="26" xfId="58" applyBorder="1" applyAlignment="1">
      <alignment wrapText="1"/>
      <protection/>
    </xf>
    <xf numFmtId="0" fontId="0" fillId="0" borderId="0" xfId="58" applyFill="1">
      <alignment/>
      <protection/>
    </xf>
    <xf numFmtId="4" fontId="0" fillId="0" borderId="0" xfId="58" applyNumberFormat="1" applyFill="1" applyBorder="1">
      <alignment/>
      <protection/>
    </xf>
    <xf numFmtId="0" fontId="0" fillId="0" borderId="0" xfId="58" applyFill="1" applyAlignment="1">
      <alignment wrapText="1"/>
      <protection/>
    </xf>
    <xf numFmtId="0" fontId="2" fillId="0" borderId="0" xfId="58" applyFont="1" applyFill="1" applyAlignment="1">
      <alignment wrapText="1"/>
      <protection/>
    </xf>
    <xf numFmtId="0" fontId="0" fillId="0" borderId="12" xfId="58" applyFill="1" applyBorder="1" applyAlignment="1">
      <alignment wrapText="1"/>
      <protection/>
    </xf>
    <xf numFmtId="0" fontId="0" fillId="0" borderId="19" xfId="58" applyBorder="1">
      <alignment/>
      <protection/>
    </xf>
    <xf numFmtId="0" fontId="0" fillId="0" borderId="17" xfId="58" applyBorder="1">
      <alignment/>
      <protection/>
    </xf>
    <xf numFmtId="4" fontId="0" fillId="0" borderId="16" xfId="58" applyNumberFormat="1" applyBorder="1">
      <alignment/>
      <protection/>
    </xf>
    <xf numFmtId="2" fontId="0" fillId="0" borderId="10" xfId="58" applyNumberFormat="1" applyBorder="1" applyAlignment="1">
      <alignment wrapText="1"/>
      <protection/>
    </xf>
    <xf numFmtId="2" fontId="0" fillId="0" borderId="32" xfId="58" applyNumberFormat="1" applyBorder="1">
      <alignment/>
      <protection/>
    </xf>
    <xf numFmtId="4" fontId="0" fillId="0" borderId="21" xfId="58" applyNumberFormat="1" applyBorder="1">
      <alignment/>
      <protection/>
    </xf>
    <xf numFmtId="0" fontId="0" fillId="0" borderId="20" xfId="58" applyBorder="1" applyAlignment="1">
      <alignment wrapText="1"/>
      <protection/>
    </xf>
    <xf numFmtId="0" fontId="0" fillId="0" borderId="22" xfId="58" applyBorder="1">
      <alignment/>
      <protection/>
    </xf>
    <xf numFmtId="0" fontId="2" fillId="0" borderId="20" xfId="58" applyFont="1" applyBorder="1" applyAlignment="1">
      <alignment/>
      <protection/>
    </xf>
    <xf numFmtId="0" fontId="0" fillId="0" borderId="0" xfId="58" applyFill="1" applyBorder="1" applyAlignment="1">
      <alignment wrapText="1"/>
      <protection/>
    </xf>
    <xf numFmtId="0" fontId="0" fillId="0" borderId="0" xfId="58" applyFont="1" applyAlignment="1">
      <alignment wrapText="1"/>
      <protection/>
    </xf>
    <xf numFmtId="0" fontId="0" fillId="0" borderId="49" xfId="58" applyBorder="1">
      <alignment/>
      <protection/>
    </xf>
    <xf numFmtId="0" fontId="0" fillId="0" borderId="51" xfId="58" applyBorder="1">
      <alignment/>
      <protection/>
    </xf>
    <xf numFmtId="0" fontId="0" fillId="0" borderId="39" xfId="58" applyBorder="1">
      <alignment/>
      <protection/>
    </xf>
    <xf numFmtId="0" fontId="0" fillId="0" borderId="52" xfId="58" applyBorder="1">
      <alignment/>
      <protection/>
    </xf>
    <xf numFmtId="0" fontId="0" fillId="0" borderId="18" xfId="58" applyBorder="1">
      <alignment/>
      <protection/>
    </xf>
    <xf numFmtId="0" fontId="0" fillId="0" borderId="10" xfId="58" applyBorder="1">
      <alignment/>
      <protection/>
    </xf>
    <xf numFmtId="0" fontId="22" fillId="0" borderId="49" xfId="58" applyFont="1" applyBorder="1">
      <alignment/>
      <protection/>
    </xf>
    <xf numFmtId="0" fontId="22" fillId="0" borderId="51" xfId="58" applyFont="1" applyBorder="1">
      <alignment/>
      <protection/>
    </xf>
    <xf numFmtId="0" fontId="22" fillId="0" borderId="52" xfId="58" applyFont="1" applyBorder="1">
      <alignment/>
      <protection/>
    </xf>
    <xf numFmtId="0" fontId="0" fillId="0" borderId="51" xfId="58" applyFont="1" applyBorder="1">
      <alignment/>
      <protection/>
    </xf>
    <xf numFmtId="0" fontId="0" fillId="0" borderId="0" xfId="58" applyFont="1">
      <alignment/>
      <protection/>
    </xf>
    <xf numFmtId="0" fontId="0" fillId="0" borderId="24" xfId="58" applyBorder="1">
      <alignment/>
      <protection/>
    </xf>
    <xf numFmtId="0" fontId="0" fillId="0" borderId="16" xfId="58" applyBorder="1">
      <alignment/>
      <protection/>
    </xf>
    <xf numFmtId="0" fontId="0" fillId="0" borderId="27" xfId="58" applyBorder="1">
      <alignment/>
      <protection/>
    </xf>
    <xf numFmtId="0" fontId="0" fillId="0" borderId="26" xfId="58" applyBorder="1">
      <alignment/>
      <protection/>
    </xf>
    <xf numFmtId="4" fontId="0" fillId="0" borderId="53" xfId="58" applyNumberFormat="1" applyBorder="1">
      <alignment/>
      <protection/>
    </xf>
    <xf numFmtId="4" fontId="0" fillId="0" borderId="54" xfId="58" applyNumberFormat="1" applyBorder="1">
      <alignment/>
      <protection/>
    </xf>
    <xf numFmtId="0" fontId="14" fillId="0" borderId="0" xfId="58" applyFont="1">
      <alignment/>
      <protection/>
    </xf>
    <xf numFmtId="171" fontId="14" fillId="0" borderId="0" xfId="58" applyNumberFormat="1" applyFont="1">
      <alignment/>
      <protection/>
    </xf>
    <xf numFmtId="0" fontId="14" fillId="0" borderId="0" xfId="58" applyFont="1" applyAlignment="1">
      <alignment wrapText="1"/>
      <protection/>
    </xf>
    <xf numFmtId="179" fontId="0" fillId="0" borderId="0" xfId="58" applyNumberFormat="1" applyFill="1" applyBorder="1" applyAlignment="1">
      <alignment horizontal="right"/>
      <protection/>
    </xf>
    <xf numFmtId="0" fontId="0" fillId="0" borderId="29" xfId="58" applyFill="1" applyBorder="1">
      <alignment/>
      <protection/>
    </xf>
    <xf numFmtId="0" fontId="0" fillId="0" borderId="29" xfId="58" applyFill="1" applyBorder="1" applyAlignment="1">
      <alignment wrapText="1"/>
      <protection/>
    </xf>
    <xf numFmtId="0" fontId="0" fillId="0" borderId="29" xfId="58" applyBorder="1">
      <alignment/>
      <protection/>
    </xf>
    <xf numFmtId="0" fontId="14" fillId="0" borderId="0" xfId="58" applyFont="1" applyBorder="1">
      <alignment/>
      <protection/>
    </xf>
    <xf numFmtId="3" fontId="0" fillId="0" borderId="0" xfId="58" applyNumberFormat="1" applyFill="1">
      <alignment/>
      <protection/>
    </xf>
    <xf numFmtId="0" fontId="0" fillId="33" borderId="0" xfId="58" applyFill="1">
      <alignment/>
      <protection/>
    </xf>
    <xf numFmtId="3" fontId="0" fillId="33" borderId="0" xfId="58" applyNumberFormat="1" applyFill="1">
      <alignment/>
      <protection/>
    </xf>
    <xf numFmtId="0" fontId="0" fillId="33" borderId="0" xfId="58" applyFill="1" applyAlignment="1">
      <alignment/>
      <protection/>
    </xf>
    <xf numFmtId="0" fontId="0" fillId="0" borderId="55" xfId="58" applyFill="1" applyBorder="1" applyAlignment="1">
      <alignment wrapText="1"/>
      <protection/>
    </xf>
    <xf numFmtId="180" fontId="0" fillId="0" borderId="34" xfId="58" applyNumberFormat="1" applyBorder="1">
      <alignment/>
      <protection/>
    </xf>
    <xf numFmtId="2" fontId="0" fillId="0" borderId="50" xfId="58" applyNumberFormat="1" applyBorder="1">
      <alignment/>
      <protection/>
    </xf>
    <xf numFmtId="2" fontId="0" fillId="0" borderId="56" xfId="58" applyNumberFormat="1" applyBorder="1">
      <alignment/>
      <protection/>
    </xf>
    <xf numFmtId="0" fontId="0" fillId="37" borderId="19" xfId="58" applyFill="1" applyBorder="1" applyAlignment="1">
      <alignment wrapText="1"/>
      <protection/>
    </xf>
    <xf numFmtId="0" fontId="0" fillId="37" borderId="24" xfId="58" applyFill="1" applyBorder="1" applyAlignment="1">
      <alignment wrapText="1"/>
      <protection/>
    </xf>
    <xf numFmtId="0" fontId="0" fillId="33" borderId="24" xfId="58" applyFill="1" applyBorder="1" applyAlignment="1">
      <alignment wrapText="1"/>
      <protection/>
    </xf>
    <xf numFmtId="180" fontId="0" fillId="0" borderId="33" xfId="58" applyNumberFormat="1" applyBorder="1">
      <alignment/>
      <protection/>
    </xf>
    <xf numFmtId="2" fontId="0" fillId="0" borderId="23" xfId="58" applyNumberFormat="1" applyBorder="1">
      <alignment/>
      <protection/>
    </xf>
    <xf numFmtId="0" fontId="0" fillId="37" borderId="17" xfId="58" applyFill="1" applyBorder="1">
      <alignment/>
      <protection/>
    </xf>
    <xf numFmtId="0" fontId="0" fillId="37" borderId="16" xfId="58" applyFill="1" applyBorder="1">
      <alignment/>
      <protection/>
    </xf>
    <xf numFmtId="0" fontId="0" fillId="33" borderId="16" xfId="58" applyFill="1" applyBorder="1" applyAlignment="1">
      <alignment wrapText="1"/>
      <protection/>
    </xf>
    <xf numFmtId="180" fontId="0" fillId="0" borderId="35" xfId="58" applyNumberFormat="1" applyBorder="1">
      <alignment/>
      <protection/>
    </xf>
    <xf numFmtId="0" fontId="0" fillId="37" borderId="32" xfId="58" applyFill="1" applyBorder="1" applyAlignment="1">
      <alignment wrapText="1"/>
      <protection/>
    </xf>
    <xf numFmtId="0" fontId="0" fillId="37" borderId="31" xfId="58" applyFill="1" applyBorder="1" applyAlignment="1">
      <alignment wrapText="1"/>
      <protection/>
    </xf>
    <xf numFmtId="3" fontId="0" fillId="0" borderId="31" xfId="58" applyNumberFormat="1" applyBorder="1">
      <alignment/>
      <protection/>
    </xf>
    <xf numFmtId="0" fontId="0" fillId="33" borderId="31" xfId="58" applyFill="1" applyBorder="1" applyAlignment="1">
      <alignment wrapText="1"/>
      <protection/>
    </xf>
    <xf numFmtId="0" fontId="0" fillId="0" borderId="20" xfId="58" applyBorder="1" applyAlignment="1">
      <alignment/>
      <protection/>
    </xf>
    <xf numFmtId="180" fontId="0" fillId="0" borderId="57" xfId="58" applyNumberFormat="1" applyBorder="1">
      <alignment/>
      <protection/>
    </xf>
    <xf numFmtId="2" fontId="0" fillId="0" borderId="58" xfId="58" applyNumberFormat="1" applyBorder="1">
      <alignment/>
      <protection/>
    </xf>
    <xf numFmtId="2" fontId="0" fillId="0" borderId="55" xfId="58" applyNumberFormat="1" applyBorder="1">
      <alignment/>
      <protection/>
    </xf>
    <xf numFmtId="0" fontId="0" fillId="37" borderId="44" xfId="58" applyFill="1" applyBorder="1" applyAlignment="1">
      <alignment wrapText="1"/>
      <protection/>
    </xf>
    <xf numFmtId="0" fontId="0" fillId="37" borderId="45" xfId="58" applyFill="1" applyBorder="1" applyAlignment="1">
      <alignment wrapText="1"/>
      <protection/>
    </xf>
    <xf numFmtId="3" fontId="0" fillId="0" borderId="45" xfId="58" applyNumberFormat="1" applyBorder="1">
      <alignment/>
      <protection/>
    </xf>
    <xf numFmtId="0" fontId="0" fillId="33" borderId="45" xfId="58" applyFill="1" applyBorder="1" applyAlignment="1">
      <alignment wrapText="1"/>
      <protection/>
    </xf>
    <xf numFmtId="0" fontId="0" fillId="0" borderId="59" xfId="58" applyBorder="1" applyAlignment="1">
      <alignment wrapText="1"/>
      <protection/>
    </xf>
    <xf numFmtId="0" fontId="0" fillId="37" borderId="44" xfId="58" applyFill="1" applyBorder="1">
      <alignment/>
      <protection/>
    </xf>
    <xf numFmtId="0" fontId="0" fillId="37" borderId="45" xfId="58" applyFill="1" applyBorder="1">
      <alignment/>
      <protection/>
    </xf>
    <xf numFmtId="0" fontId="0" fillId="37" borderId="17" xfId="58" applyFill="1" applyBorder="1" applyAlignment="1">
      <alignment wrapText="1"/>
      <protection/>
    </xf>
    <xf numFmtId="0" fontId="0" fillId="37" borderId="16" xfId="58" applyFill="1" applyBorder="1" applyAlignment="1">
      <alignment wrapText="1"/>
      <protection/>
    </xf>
    <xf numFmtId="0" fontId="0" fillId="0" borderId="29" xfId="58" applyBorder="1" applyAlignment="1">
      <alignment wrapText="1"/>
      <protection/>
    </xf>
    <xf numFmtId="2" fontId="0" fillId="0" borderId="25" xfId="58" applyNumberFormat="1" applyFill="1" applyBorder="1" applyAlignment="1">
      <alignment wrapText="1"/>
      <protection/>
    </xf>
    <xf numFmtId="2" fontId="0" fillId="0" borderId="14" xfId="58" applyNumberFormat="1" applyFill="1" applyBorder="1" applyAlignment="1">
      <alignment wrapText="1"/>
      <protection/>
    </xf>
    <xf numFmtId="0" fontId="0" fillId="0" borderId="25" xfId="58" applyFill="1" applyBorder="1" applyAlignment="1">
      <alignment wrapText="1"/>
      <protection/>
    </xf>
    <xf numFmtId="0" fontId="0" fillId="0" borderId="15" xfId="58" applyFill="1" applyBorder="1" applyAlignment="1">
      <alignment wrapText="1"/>
      <protection/>
    </xf>
    <xf numFmtId="3" fontId="0" fillId="0" borderId="15" xfId="58" applyNumberFormat="1" applyFill="1" applyBorder="1" applyAlignment="1">
      <alignment wrapText="1"/>
      <protection/>
    </xf>
    <xf numFmtId="0" fontId="0" fillId="0" borderId="15" xfId="58" applyBorder="1" applyAlignment="1">
      <alignment wrapText="1"/>
      <protection/>
    </xf>
    <xf numFmtId="0" fontId="0" fillId="0" borderId="60" xfId="58" applyBorder="1" applyAlignment="1">
      <alignment wrapText="1"/>
      <protection/>
    </xf>
    <xf numFmtId="0" fontId="0" fillId="0" borderId="29" xfId="58" applyBorder="1" applyAlignment="1">
      <alignment/>
      <protection/>
    </xf>
    <xf numFmtId="0" fontId="0" fillId="0" borderId="39" xfId="58" applyBorder="1" applyAlignment="1">
      <alignment/>
      <protection/>
    </xf>
    <xf numFmtId="0" fontId="0" fillId="0" borderId="38" xfId="58" applyBorder="1" applyAlignment="1">
      <alignment/>
      <protection/>
    </xf>
    <xf numFmtId="0" fontId="0" fillId="0" borderId="28" xfId="58" applyFill="1" applyBorder="1" applyAlignment="1">
      <alignment wrapText="1"/>
      <protection/>
    </xf>
    <xf numFmtId="0" fontId="0" fillId="0" borderId="27" xfId="58" applyFill="1" applyBorder="1" applyAlignment="1">
      <alignment wrapText="1"/>
      <protection/>
    </xf>
    <xf numFmtId="0" fontId="20" fillId="0" borderId="0" xfId="58" applyFont="1" applyAlignment="1">
      <alignment horizontal="left" indent="2"/>
      <protection/>
    </xf>
    <xf numFmtId="0" fontId="0" fillId="0" borderId="0" xfId="58" applyAlignment="1">
      <alignment horizontal="left" vertical="center" wrapText="1"/>
      <protection/>
    </xf>
    <xf numFmtId="0" fontId="24" fillId="0" borderId="0" xfId="58" applyFont="1">
      <alignment/>
      <protection/>
    </xf>
    <xf numFmtId="0" fontId="4" fillId="0" borderId="0" xfId="54" applyAlignment="1" applyProtection="1">
      <alignment/>
      <protection/>
    </xf>
    <xf numFmtId="0" fontId="0" fillId="39" borderId="61" xfId="58" applyFont="1" applyFill="1" applyBorder="1" applyAlignment="1">
      <alignment vertical="top" wrapText="1"/>
      <protection/>
    </xf>
    <xf numFmtId="0" fontId="0" fillId="37" borderId="61" xfId="58" applyFont="1" applyFill="1" applyBorder="1" applyAlignment="1">
      <alignment vertical="top" wrapText="1"/>
      <protection/>
    </xf>
    <xf numFmtId="0" fontId="0" fillId="38" borderId="61" xfId="58" applyFont="1" applyFill="1" applyBorder="1" applyAlignment="1">
      <alignment vertical="top" wrapText="1"/>
      <protection/>
    </xf>
    <xf numFmtId="0" fontId="0" fillId="40" borderId="61" xfId="58" applyFont="1" applyFill="1" applyBorder="1" applyAlignment="1">
      <alignment vertical="top" wrapText="1"/>
      <protection/>
    </xf>
    <xf numFmtId="0" fontId="0" fillId="0" borderId="61" xfId="58" applyFont="1" applyFill="1" applyBorder="1" applyAlignment="1">
      <alignment vertical="top" wrapText="1"/>
      <protection/>
    </xf>
    <xf numFmtId="0" fontId="2" fillId="41" borderId="61" xfId="58" applyFont="1" applyFill="1" applyBorder="1" applyAlignment="1">
      <alignment vertical="top" wrapText="1"/>
      <protection/>
    </xf>
    <xf numFmtId="0" fontId="0" fillId="37" borderId="62" xfId="58" applyFont="1" applyFill="1" applyBorder="1" applyAlignment="1">
      <alignment horizontal="center" wrapText="1"/>
      <protection/>
    </xf>
    <xf numFmtId="0" fontId="0" fillId="40" borderId="62" xfId="58" applyFont="1" applyFill="1" applyBorder="1" applyAlignment="1">
      <alignment horizontal="center" wrapText="1"/>
      <protection/>
    </xf>
    <xf numFmtId="0" fontId="0" fillId="37" borderId="63" xfId="58" applyFont="1" applyFill="1" applyBorder="1" applyAlignment="1">
      <alignment horizontal="center" wrapText="1"/>
      <protection/>
    </xf>
    <xf numFmtId="0" fontId="0" fillId="39" borderId="61" xfId="58" applyFont="1" applyFill="1" applyBorder="1" applyAlignment="1">
      <alignment horizontal="center" wrapText="1"/>
      <protection/>
    </xf>
    <xf numFmtId="0" fontId="0" fillId="37" borderId="61" xfId="54" applyFont="1" applyFill="1" applyBorder="1" applyAlignment="1" applyProtection="1">
      <alignment horizontal="center" wrapText="1"/>
      <protection/>
    </xf>
    <xf numFmtId="0" fontId="0" fillId="38" borderId="61" xfId="58" applyFont="1" applyFill="1" applyBorder="1" applyAlignment="1">
      <alignment horizontal="center" wrapText="1"/>
      <protection/>
    </xf>
    <xf numFmtId="0" fontId="0" fillId="40" borderId="61" xfId="58" applyFont="1" applyFill="1" applyBorder="1" applyAlignment="1">
      <alignment horizontal="center" wrapText="1"/>
      <protection/>
    </xf>
    <xf numFmtId="0" fontId="0" fillId="0" borderId="61" xfId="58" applyFont="1" applyFill="1" applyBorder="1" applyAlignment="1">
      <alignment horizontal="center" wrapText="1"/>
      <protection/>
    </xf>
    <xf numFmtId="0" fontId="2" fillId="41" borderId="61" xfId="58" applyFont="1" applyFill="1" applyBorder="1" applyAlignment="1">
      <alignment wrapText="1"/>
      <protection/>
    </xf>
    <xf numFmtId="0" fontId="0" fillId="37" borderId="61" xfId="58" applyFont="1" applyFill="1" applyBorder="1" applyAlignment="1">
      <alignment horizontal="center" wrapText="1"/>
      <protection/>
    </xf>
    <xf numFmtId="0" fontId="0" fillId="38" borderId="62" xfId="58" applyFont="1" applyFill="1" applyBorder="1" applyAlignment="1">
      <alignment horizontal="center" wrapText="1"/>
      <protection/>
    </xf>
    <xf numFmtId="0" fontId="0" fillId="0" borderId="62" xfId="58" applyFont="1" applyFill="1" applyBorder="1" applyAlignment="1">
      <alignment horizontal="center" wrapText="1"/>
      <protection/>
    </xf>
    <xf numFmtId="0" fontId="0" fillId="38" borderId="63" xfId="58" applyFont="1" applyFill="1" applyBorder="1" applyAlignment="1">
      <alignment horizontal="center" wrapText="1"/>
      <protection/>
    </xf>
    <xf numFmtId="0" fontId="0" fillId="0" borderId="63" xfId="58" applyFont="1" applyFill="1" applyBorder="1" applyAlignment="1">
      <alignment horizontal="center" wrapText="1"/>
      <protection/>
    </xf>
    <xf numFmtId="0" fontId="0" fillId="38" borderId="61" xfId="54" applyFont="1" applyFill="1" applyBorder="1" applyAlignment="1" applyProtection="1">
      <alignment horizontal="center" wrapText="1"/>
      <protection/>
    </xf>
    <xf numFmtId="0" fontId="0" fillId="40" borderId="61" xfId="54" applyFont="1" applyFill="1" applyBorder="1" applyAlignment="1" applyProtection="1">
      <alignment horizontal="center" wrapText="1"/>
      <protection/>
    </xf>
    <xf numFmtId="0" fontId="0" fillId="0" borderId="61" xfId="54" applyFont="1" applyFill="1" applyBorder="1" applyAlignment="1" applyProtection="1">
      <alignment horizontal="center" wrapText="1"/>
      <protection/>
    </xf>
    <xf numFmtId="0" fontId="25" fillId="0" borderId="0" xfId="58" applyFont="1">
      <alignment/>
      <protection/>
    </xf>
    <xf numFmtId="0" fontId="2" fillId="39" borderId="63" xfId="54" applyFont="1" applyFill="1" applyBorder="1" applyAlignment="1" applyProtection="1">
      <alignment horizontal="center" wrapText="1"/>
      <protection/>
    </xf>
    <xf numFmtId="0" fontId="2" fillId="37" borderId="64" xfId="54" applyFont="1" applyFill="1" applyBorder="1" applyAlignment="1" applyProtection="1">
      <alignment horizontal="center" wrapText="1"/>
      <protection/>
    </xf>
    <xf numFmtId="0" fontId="2" fillId="38" borderId="29" xfId="58" applyFont="1" applyFill="1" applyBorder="1" applyAlignment="1">
      <alignment wrapText="1"/>
      <protection/>
    </xf>
    <xf numFmtId="0" fontId="2" fillId="40" borderId="29" xfId="58" applyFont="1" applyFill="1" applyBorder="1" applyAlignment="1">
      <alignment wrapText="1"/>
      <protection/>
    </xf>
    <xf numFmtId="0" fontId="2" fillId="41" borderId="29" xfId="58" applyFont="1" applyFill="1" applyBorder="1" applyAlignment="1">
      <alignment wrapText="1"/>
      <protection/>
    </xf>
    <xf numFmtId="0" fontId="26" fillId="0" borderId="0" xfId="58" applyFont="1">
      <alignment/>
      <protection/>
    </xf>
    <xf numFmtId="166" fontId="11" fillId="0" borderId="0" xfId="58" applyNumberFormat="1" applyFont="1" applyAlignment="1">
      <alignment/>
      <protection/>
    </xf>
    <xf numFmtId="0" fontId="0" fillId="0" borderId="0" xfId="58" applyFont="1" applyAlignment="1">
      <alignment/>
      <protection/>
    </xf>
    <xf numFmtId="166" fontId="0" fillId="0" borderId="0" xfId="58" applyNumberFormat="1" applyFont="1" applyAlignment="1">
      <alignment/>
      <protection/>
    </xf>
    <xf numFmtId="0" fontId="2" fillId="0" borderId="0" xfId="58" applyFont="1" applyAlignment="1">
      <alignment/>
      <protection/>
    </xf>
    <xf numFmtId="0" fontId="27" fillId="0" borderId="0" xfId="58" applyFont="1">
      <alignment/>
      <protection/>
    </xf>
    <xf numFmtId="0" fontId="28" fillId="0" borderId="0" xfId="58" applyFont="1">
      <alignment/>
      <protection/>
    </xf>
    <xf numFmtId="0" fontId="29" fillId="0" borderId="0" xfId="58" applyFont="1">
      <alignment/>
      <protection/>
    </xf>
    <xf numFmtId="0" fontId="0" fillId="0" borderId="0" xfId="58" applyNumberFormat="1">
      <alignment/>
      <protection/>
    </xf>
    <xf numFmtId="0" fontId="0" fillId="35" borderId="65" xfId="58" applyFill="1" applyBorder="1">
      <alignment/>
      <protection/>
    </xf>
    <xf numFmtId="0" fontId="0" fillId="35" borderId="19" xfId="58" applyFill="1" applyBorder="1">
      <alignment/>
      <protection/>
    </xf>
    <xf numFmtId="0" fontId="0" fillId="35" borderId="24" xfId="58" applyFill="1" applyBorder="1">
      <alignment/>
      <protection/>
    </xf>
    <xf numFmtId="0" fontId="0" fillId="35" borderId="18" xfId="58" applyFill="1" applyBorder="1">
      <alignment/>
      <protection/>
    </xf>
    <xf numFmtId="0" fontId="0" fillId="35" borderId="34" xfId="58" applyFill="1" applyBorder="1">
      <alignment/>
      <protection/>
    </xf>
    <xf numFmtId="0" fontId="0" fillId="35" borderId="66" xfId="58" applyFill="1" applyBorder="1">
      <alignment/>
      <protection/>
    </xf>
    <xf numFmtId="0" fontId="0" fillId="35" borderId="17" xfId="58" applyFill="1" applyBorder="1">
      <alignment/>
      <protection/>
    </xf>
    <xf numFmtId="0" fontId="0" fillId="35" borderId="16" xfId="58" applyFill="1" applyBorder="1">
      <alignment/>
      <protection/>
    </xf>
    <xf numFmtId="0" fontId="0" fillId="35" borderId="10" xfId="58" applyFill="1" applyBorder="1">
      <alignment/>
      <protection/>
    </xf>
    <xf numFmtId="0" fontId="0" fillId="35" borderId="33" xfId="58" applyFill="1" applyBorder="1">
      <alignment/>
      <protection/>
    </xf>
    <xf numFmtId="0" fontId="0" fillId="35" borderId="54" xfId="58" applyFill="1" applyBorder="1">
      <alignment/>
      <protection/>
    </xf>
    <xf numFmtId="0" fontId="0" fillId="35" borderId="28" xfId="58" applyFill="1" applyBorder="1">
      <alignment/>
      <protection/>
    </xf>
    <xf numFmtId="0" fontId="0" fillId="35" borderId="27" xfId="58" applyFill="1" applyBorder="1">
      <alignment/>
      <protection/>
    </xf>
    <xf numFmtId="0" fontId="0" fillId="35" borderId="26" xfId="58" applyFill="1" applyBorder="1">
      <alignment/>
      <protection/>
    </xf>
    <xf numFmtId="0" fontId="0" fillId="35" borderId="42" xfId="58" applyFill="1" applyBorder="1">
      <alignment/>
      <protection/>
    </xf>
    <xf numFmtId="0" fontId="0" fillId="41" borderId="13" xfId="58" applyFont="1" applyFill="1" applyBorder="1" applyAlignment="1">
      <alignment horizontal="center" wrapText="1"/>
      <protection/>
    </xf>
    <xf numFmtId="0" fontId="0" fillId="41" borderId="29" xfId="58" applyFont="1" applyFill="1" applyBorder="1" applyAlignment="1">
      <alignment horizontal="center"/>
      <protection/>
    </xf>
    <xf numFmtId="0" fontId="0" fillId="41" borderId="29" xfId="58" applyFont="1" applyFill="1" applyBorder="1">
      <alignment/>
      <protection/>
    </xf>
    <xf numFmtId="3" fontId="0" fillId="0" borderId="0" xfId="58" applyNumberFormat="1" applyFont="1" applyFill="1" applyBorder="1" applyAlignment="1">
      <alignment horizontal="left"/>
      <protection/>
    </xf>
    <xf numFmtId="3" fontId="0" fillId="0" borderId="0" xfId="58" applyNumberFormat="1" applyFont="1" applyBorder="1" applyAlignment="1">
      <alignment horizontal="left"/>
      <protection/>
    </xf>
    <xf numFmtId="166" fontId="0" fillId="0" borderId="0" xfId="58" applyNumberFormat="1" applyFill="1" applyBorder="1">
      <alignment/>
      <protection/>
    </xf>
    <xf numFmtId="180" fontId="0" fillId="0" borderId="0" xfId="58" applyNumberFormat="1" applyFill="1" applyBorder="1">
      <alignment/>
      <protection/>
    </xf>
    <xf numFmtId="166" fontId="0" fillId="0" borderId="12" xfId="58" applyNumberFormat="1" applyFill="1" applyBorder="1">
      <alignment/>
      <protection/>
    </xf>
    <xf numFmtId="180" fontId="0" fillId="0" borderId="12" xfId="58" applyNumberFormat="1" applyFill="1" applyBorder="1">
      <alignment/>
      <protection/>
    </xf>
    <xf numFmtId="0" fontId="0" fillId="0" borderId="12" xfId="58" applyFill="1" applyBorder="1">
      <alignment/>
      <protection/>
    </xf>
    <xf numFmtId="166" fontId="0" fillId="0" borderId="34" xfId="58" applyNumberFormat="1" applyFill="1" applyBorder="1">
      <alignment/>
      <protection/>
    </xf>
    <xf numFmtId="166" fontId="0" fillId="0" borderId="19" xfId="58" applyNumberFormat="1" applyFill="1" applyBorder="1">
      <alignment/>
      <protection/>
    </xf>
    <xf numFmtId="166" fontId="0" fillId="0" borderId="24" xfId="58" applyNumberFormat="1" applyFill="1" applyBorder="1">
      <alignment/>
      <protection/>
    </xf>
    <xf numFmtId="166" fontId="0" fillId="0" borderId="18" xfId="58" applyNumberFormat="1" applyFill="1" applyBorder="1">
      <alignment/>
      <protection/>
    </xf>
    <xf numFmtId="166" fontId="0" fillId="0" borderId="34" xfId="58" applyNumberFormat="1" applyBorder="1">
      <alignment/>
      <protection/>
    </xf>
    <xf numFmtId="180" fontId="0" fillId="0" borderId="34" xfId="58" applyNumberFormat="1" applyFill="1" applyBorder="1">
      <alignment/>
      <protection/>
    </xf>
    <xf numFmtId="164" fontId="0" fillId="0" borderId="67" xfId="58" applyNumberFormat="1" applyFill="1" applyBorder="1">
      <alignment/>
      <protection/>
    </xf>
    <xf numFmtId="164" fontId="0" fillId="0" borderId="68" xfId="58" applyNumberFormat="1" applyFill="1" applyBorder="1">
      <alignment/>
      <protection/>
    </xf>
    <xf numFmtId="166" fontId="0" fillId="0" borderId="67" xfId="58" applyNumberFormat="1" applyFill="1" applyBorder="1">
      <alignment/>
      <protection/>
    </xf>
    <xf numFmtId="2" fontId="0" fillId="0" borderId="18" xfId="58" applyNumberFormat="1" applyFill="1" applyBorder="1">
      <alignment/>
      <protection/>
    </xf>
    <xf numFmtId="180" fontId="0" fillId="0" borderId="65" xfId="58" applyNumberFormat="1" applyFill="1" applyBorder="1">
      <alignment/>
      <protection/>
    </xf>
    <xf numFmtId="1" fontId="0" fillId="0" borderId="65" xfId="58" applyNumberFormat="1" applyFill="1" applyBorder="1">
      <alignment/>
      <protection/>
    </xf>
    <xf numFmtId="1" fontId="0" fillId="0" borderId="69" xfId="58" applyNumberFormat="1" applyFill="1" applyBorder="1">
      <alignment/>
      <protection/>
    </xf>
    <xf numFmtId="1" fontId="0" fillId="0" borderId="41" xfId="58" applyNumberFormat="1" applyFill="1" applyBorder="1">
      <alignment/>
      <protection/>
    </xf>
    <xf numFmtId="0" fontId="0" fillId="0" borderId="41" xfId="58" applyFill="1" applyBorder="1">
      <alignment/>
      <protection/>
    </xf>
    <xf numFmtId="0" fontId="0" fillId="0" borderId="19" xfId="58" applyFill="1" applyBorder="1">
      <alignment/>
      <protection/>
    </xf>
    <xf numFmtId="0" fontId="0" fillId="0" borderId="24" xfId="58" applyFill="1" applyBorder="1">
      <alignment/>
      <protection/>
    </xf>
    <xf numFmtId="0" fontId="0" fillId="0" borderId="18" xfId="58" applyFill="1" applyBorder="1">
      <alignment/>
      <protection/>
    </xf>
    <xf numFmtId="0" fontId="0" fillId="0" borderId="34" xfId="58" applyFill="1" applyBorder="1">
      <alignment/>
      <protection/>
    </xf>
    <xf numFmtId="166" fontId="0" fillId="0" borderId="33" xfId="58" applyNumberFormat="1" applyFill="1" applyBorder="1">
      <alignment/>
      <protection/>
    </xf>
    <xf numFmtId="166" fontId="0" fillId="0" borderId="17" xfId="58" applyNumberFormat="1" applyFill="1" applyBorder="1">
      <alignment/>
      <protection/>
    </xf>
    <xf numFmtId="166" fontId="0" fillId="0" borderId="16" xfId="58" applyNumberFormat="1" applyFill="1" applyBorder="1">
      <alignment/>
      <protection/>
    </xf>
    <xf numFmtId="166" fontId="0" fillId="0" borderId="10" xfId="58" applyNumberFormat="1" applyFill="1" applyBorder="1">
      <alignment/>
      <protection/>
    </xf>
    <xf numFmtId="166" fontId="0" fillId="0" borderId="33" xfId="58" applyNumberFormat="1" applyBorder="1">
      <alignment/>
      <protection/>
    </xf>
    <xf numFmtId="180" fontId="0" fillId="0" borderId="33" xfId="58" applyNumberFormat="1" applyFill="1" applyBorder="1">
      <alignment/>
      <protection/>
    </xf>
    <xf numFmtId="164" fontId="0" fillId="0" borderId="70" xfId="58" applyNumberFormat="1" applyFill="1" applyBorder="1">
      <alignment/>
      <protection/>
    </xf>
    <xf numFmtId="164" fontId="0" fillId="0" borderId="71" xfId="58" applyNumberFormat="1" applyFill="1" applyBorder="1">
      <alignment/>
      <protection/>
    </xf>
    <xf numFmtId="166" fontId="0" fillId="0" borderId="70" xfId="58" applyNumberFormat="1" applyFill="1" applyBorder="1">
      <alignment/>
      <protection/>
    </xf>
    <xf numFmtId="2" fontId="0" fillId="0" borderId="10" xfId="58" applyNumberFormat="1" applyFill="1" applyBorder="1">
      <alignment/>
      <protection/>
    </xf>
    <xf numFmtId="180" fontId="0" fillId="0" borderId="66" xfId="58" applyNumberFormat="1" applyFill="1" applyBorder="1">
      <alignment/>
      <protection/>
    </xf>
    <xf numFmtId="1" fontId="0" fillId="0" borderId="66" xfId="58" applyNumberFormat="1" applyFill="1" applyBorder="1">
      <alignment/>
      <protection/>
    </xf>
    <xf numFmtId="1" fontId="0" fillId="0" borderId="72" xfId="58" applyNumberFormat="1" applyFill="1" applyBorder="1">
      <alignment/>
      <protection/>
    </xf>
    <xf numFmtId="1" fontId="0" fillId="0" borderId="73" xfId="58" applyNumberFormat="1" applyFill="1" applyBorder="1">
      <alignment/>
      <protection/>
    </xf>
    <xf numFmtId="0" fontId="0" fillId="0" borderId="73" xfId="58" applyFill="1" applyBorder="1">
      <alignment/>
      <protection/>
    </xf>
    <xf numFmtId="0" fontId="0" fillId="0" borderId="17" xfId="58" applyFill="1" applyBorder="1">
      <alignment/>
      <protection/>
    </xf>
    <xf numFmtId="0" fontId="0" fillId="0" borderId="16" xfId="58" applyFill="1" applyBorder="1">
      <alignment/>
      <protection/>
    </xf>
    <xf numFmtId="0" fontId="0" fillId="0" borderId="10" xfId="58" applyFill="1" applyBorder="1">
      <alignment/>
      <protection/>
    </xf>
    <xf numFmtId="0" fontId="0" fillId="0" borderId="33" xfId="58" applyFill="1" applyBorder="1">
      <alignment/>
      <protection/>
    </xf>
    <xf numFmtId="166" fontId="0" fillId="0" borderId="42" xfId="58" applyNumberFormat="1" applyFill="1" applyBorder="1">
      <alignment/>
      <protection/>
    </xf>
    <xf numFmtId="166" fontId="0" fillId="0" borderId="28" xfId="58" applyNumberFormat="1" applyFill="1" applyBorder="1">
      <alignment/>
      <protection/>
    </xf>
    <xf numFmtId="166" fontId="0" fillId="0" borderId="27" xfId="58" applyNumberFormat="1" applyFill="1" applyBorder="1">
      <alignment/>
      <protection/>
    </xf>
    <xf numFmtId="166" fontId="0" fillId="0" borderId="26" xfId="58" applyNumberFormat="1" applyFill="1" applyBorder="1">
      <alignment/>
      <protection/>
    </xf>
    <xf numFmtId="166" fontId="0" fillId="0" borderId="42" xfId="58" applyNumberFormat="1" applyBorder="1">
      <alignment/>
      <protection/>
    </xf>
    <xf numFmtId="180" fontId="0" fillId="0" borderId="42" xfId="58" applyNumberFormat="1" applyFill="1" applyBorder="1">
      <alignment/>
      <protection/>
    </xf>
    <xf numFmtId="164" fontId="0" fillId="0" borderId="74" xfId="58" applyNumberFormat="1" applyFill="1" applyBorder="1">
      <alignment/>
      <protection/>
    </xf>
    <xf numFmtId="164" fontId="0" fillId="0" borderId="27" xfId="58" applyNumberFormat="1" applyFill="1" applyBorder="1">
      <alignment/>
      <protection/>
    </xf>
    <xf numFmtId="164" fontId="0" fillId="0" borderId="75" xfId="58" applyNumberFormat="1" applyFill="1" applyBorder="1">
      <alignment/>
      <protection/>
    </xf>
    <xf numFmtId="166" fontId="0" fillId="0" borderId="74" xfId="58" applyNumberFormat="1" applyFill="1" applyBorder="1">
      <alignment/>
      <protection/>
    </xf>
    <xf numFmtId="2" fontId="0" fillId="0" borderId="26" xfId="58" applyNumberFormat="1" applyFill="1" applyBorder="1">
      <alignment/>
      <protection/>
    </xf>
    <xf numFmtId="180" fontId="0" fillId="0" borderId="54" xfId="58" applyNumberFormat="1" applyFill="1" applyBorder="1">
      <alignment/>
      <protection/>
    </xf>
    <xf numFmtId="1" fontId="0" fillId="0" borderId="54" xfId="58" applyNumberFormat="1" applyFill="1" applyBorder="1">
      <alignment/>
      <protection/>
    </xf>
    <xf numFmtId="1" fontId="0" fillId="0" borderId="76" xfId="58" applyNumberFormat="1" applyFill="1" applyBorder="1">
      <alignment/>
      <protection/>
    </xf>
    <xf numFmtId="1" fontId="0" fillId="0" borderId="43" xfId="58" applyNumberFormat="1" applyFill="1" applyBorder="1">
      <alignment/>
      <protection/>
    </xf>
    <xf numFmtId="0" fontId="0" fillId="0" borderId="43" xfId="58" applyFill="1" applyBorder="1">
      <alignment/>
      <protection/>
    </xf>
    <xf numFmtId="0" fontId="0" fillId="0" borderId="28" xfId="58" applyFill="1" applyBorder="1">
      <alignment/>
      <protection/>
    </xf>
    <xf numFmtId="0" fontId="0" fillId="0" borderId="27" xfId="58" applyFill="1" applyBorder="1">
      <alignment/>
      <protection/>
    </xf>
    <xf numFmtId="0" fontId="0" fillId="0" borderId="26" xfId="58" applyFill="1" applyBorder="1">
      <alignment/>
      <protection/>
    </xf>
    <xf numFmtId="0" fontId="0" fillId="0" borderId="42" xfId="58" applyFill="1" applyBorder="1">
      <alignment/>
      <protection/>
    </xf>
    <xf numFmtId="166" fontId="0" fillId="38" borderId="29" xfId="58" applyNumberFormat="1" applyFill="1" applyBorder="1" applyAlignment="1">
      <alignment wrapText="1"/>
      <protection/>
    </xf>
    <xf numFmtId="166" fontId="0" fillId="38" borderId="25" xfId="58" applyNumberFormat="1" applyFill="1" applyBorder="1" applyAlignment="1">
      <alignment wrapText="1"/>
      <protection/>
    </xf>
    <xf numFmtId="166" fontId="0" fillId="38" borderId="15" xfId="58" applyNumberFormat="1" applyFill="1" applyBorder="1" applyAlignment="1">
      <alignment wrapText="1"/>
      <protection/>
    </xf>
    <xf numFmtId="166" fontId="0" fillId="38" borderId="14" xfId="58" applyNumberFormat="1" applyFill="1" applyBorder="1" applyAlignment="1">
      <alignment wrapText="1"/>
      <protection/>
    </xf>
    <xf numFmtId="166" fontId="0" fillId="38" borderId="22" xfId="58" applyNumberFormat="1" applyFill="1" applyBorder="1" applyAlignment="1">
      <alignment wrapText="1"/>
      <protection/>
    </xf>
    <xf numFmtId="166" fontId="0" fillId="41" borderId="22" xfId="58" applyNumberFormat="1" applyFill="1" applyBorder="1" applyAlignment="1">
      <alignment wrapText="1"/>
      <protection/>
    </xf>
    <xf numFmtId="166" fontId="0" fillId="41" borderId="29" xfId="58" applyNumberFormat="1" applyFill="1" applyBorder="1" applyAlignment="1">
      <alignment wrapText="1"/>
      <protection/>
    </xf>
    <xf numFmtId="166" fontId="0" fillId="41" borderId="25" xfId="58" applyNumberFormat="1" applyFill="1" applyBorder="1" applyAlignment="1">
      <alignment wrapText="1"/>
      <protection/>
    </xf>
    <xf numFmtId="166" fontId="0" fillId="41" borderId="15" xfId="58" applyNumberFormat="1" applyFill="1" applyBorder="1" applyAlignment="1">
      <alignment wrapText="1"/>
      <protection/>
    </xf>
    <xf numFmtId="166" fontId="0" fillId="41" borderId="14" xfId="58" applyNumberFormat="1" applyFill="1" applyBorder="1" applyAlignment="1">
      <alignment wrapText="1"/>
      <protection/>
    </xf>
    <xf numFmtId="166" fontId="0" fillId="41" borderId="21" xfId="58" applyNumberFormat="1" applyFill="1" applyBorder="1" applyAlignment="1">
      <alignment wrapText="1"/>
      <protection/>
    </xf>
    <xf numFmtId="2" fontId="0" fillId="41" borderId="21" xfId="58" applyNumberFormat="1" applyFont="1" applyFill="1" applyBorder="1" applyAlignment="1">
      <alignment horizontal="center" wrapText="1"/>
      <protection/>
    </xf>
    <xf numFmtId="180" fontId="0" fillId="41" borderId="29" xfId="58" applyNumberFormat="1" applyFont="1" applyFill="1" applyBorder="1" applyAlignment="1">
      <alignment horizontal="center" wrapText="1"/>
      <protection/>
    </xf>
    <xf numFmtId="1" fontId="0" fillId="41" borderId="46" xfId="58" applyNumberFormat="1" applyFont="1" applyFill="1" applyBorder="1" applyAlignment="1">
      <alignment horizontal="center"/>
      <protection/>
    </xf>
    <xf numFmtId="1" fontId="0" fillId="41" borderId="47" xfId="58" applyNumberFormat="1" applyFont="1" applyFill="1" applyBorder="1" applyAlignment="1">
      <alignment horizontal="center"/>
      <protection/>
    </xf>
    <xf numFmtId="1" fontId="0" fillId="41" borderId="48" xfId="58" applyNumberFormat="1" applyFont="1" applyFill="1" applyBorder="1" applyAlignment="1">
      <alignment horizontal="center"/>
      <protection/>
    </xf>
    <xf numFmtId="0" fontId="0" fillId="41" borderId="29" xfId="58" applyFont="1" applyFill="1" applyBorder="1" applyAlignment="1">
      <alignment horizontal="center" wrapText="1"/>
      <protection/>
    </xf>
    <xf numFmtId="0" fontId="0" fillId="41" borderId="77" xfId="58" applyFont="1" applyFill="1" applyBorder="1" applyAlignment="1">
      <alignment horizontal="center"/>
      <protection/>
    </xf>
    <xf numFmtId="0" fontId="0" fillId="41" borderId="15" xfId="58" applyFont="1" applyFill="1" applyBorder="1" applyAlignment="1">
      <alignment horizontal="center"/>
      <protection/>
    </xf>
    <xf numFmtId="0" fontId="0" fillId="41" borderId="60" xfId="58" applyFont="1" applyFill="1" applyBorder="1" applyAlignment="1">
      <alignment horizontal="center"/>
      <protection/>
    </xf>
    <xf numFmtId="166" fontId="0" fillId="0" borderId="0" xfId="58" applyNumberFormat="1" applyFill="1" applyBorder="1" applyAlignment="1">
      <alignment horizontal="center" wrapText="1"/>
      <protection/>
    </xf>
    <xf numFmtId="2" fontId="0" fillId="0" borderId="0" xfId="58" applyNumberFormat="1" applyBorder="1" applyAlignment="1">
      <alignment horizontal="center" wrapText="1"/>
      <protection/>
    </xf>
    <xf numFmtId="180" fontId="0" fillId="0" borderId="0" xfId="58" applyNumberFormat="1" applyBorder="1" applyAlignment="1">
      <alignment horizontal="center" wrapText="1"/>
      <protection/>
    </xf>
    <xf numFmtId="164" fontId="0" fillId="0" borderId="19" xfId="58" applyNumberFormat="1" applyBorder="1">
      <alignment/>
      <protection/>
    </xf>
    <xf numFmtId="164" fontId="0" fillId="0" borderId="24" xfId="58" applyNumberFormat="1" applyBorder="1">
      <alignment/>
      <protection/>
    </xf>
    <xf numFmtId="173" fontId="0" fillId="0" borderId="18" xfId="58" applyNumberFormat="1" applyBorder="1">
      <alignment/>
      <protection/>
    </xf>
    <xf numFmtId="164" fontId="0" fillId="0" borderId="67" xfId="58" applyNumberFormat="1" applyBorder="1">
      <alignment/>
      <protection/>
    </xf>
    <xf numFmtId="0" fontId="0" fillId="0" borderId="41" xfId="58" applyBorder="1">
      <alignment/>
      <protection/>
    </xf>
    <xf numFmtId="164" fontId="0" fillId="0" borderId="17" xfId="58" applyNumberFormat="1" applyBorder="1">
      <alignment/>
      <protection/>
    </xf>
    <xf numFmtId="164" fontId="0" fillId="0" borderId="16" xfId="58" applyNumberFormat="1" applyBorder="1">
      <alignment/>
      <protection/>
    </xf>
    <xf numFmtId="173" fontId="0" fillId="0" borderId="10" xfId="58" applyNumberFormat="1" applyBorder="1" applyAlignment="1">
      <alignment horizontal="right"/>
      <protection/>
    </xf>
    <xf numFmtId="164" fontId="0" fillId="0" borderId="70" xfId="58" applyNumberFormat="1" applyBorder="1">
      <alignment/>
      <protection/>
    </xf>
    <xf numFmtId="0" fontId="0" fillId="0" borderId="73" xfId="58" applyBorder="1">
      <alignment/>
      <protection/>
    </xf>
    <xf numFmtId="164" fontId="0" fillId="0" borderId="28" xfId="58" applyNumberFormat="1" applyBorder="1">
      <alignment/>
      <protection/>
    </xf>
    <xf numFmtId="164" fontId="0" fillId="0" borderId="27" xfId="58" applyNumberFormat="1" applyBorder="1">
      <alignment/>
      <protection/>
    </xf>
    <xf numFmtId="173" fontId="0" fillId="0" borderId="26" xfId="58" applyNumberFormat="1" applyBorder="1" applyAlignment="1">
      <alignment horizontal="right"/>
      <protection/>
    </xf>
    <xf numFmtId="164" fontId="0" fillId="0" borderId="74" xfId="58" applyNumberFormat="1" applyBorder="1">
      <alignment/>
      <protection/>
    </xf>
    <xf numFmtId="166" fontId="0" fillId="38" borderId="46" xfId="58" applyNumberFormat="1" applyFill="1" applyBorder="1" applyAlignment="1">
      <alignment horizontal="center" wrapText="1"/>
      <protection/>
    </xf>
    <xf numFmtId="166" fontId="0" fillId="38" borderId="47" xfId="58" applyNumberFormat="1" applyFill="1" applyBorder="1" applyAlignment="1">
      <alignment horizontal="center" wrapText="1"/>
      <protection/>
    </xf>
    <xf numFmtId="166" fontId="0" fillId="38" borderId="78" xfId="58" applyNumberFormat="1" applyFill="1" applyBorder="1" applyAlignment="1">
      <alignment horizontal="center" wrapText="1"/>
      <protection/>
    </xf>
    <xf numFmtId="166" fontId="0" fillId="41" borderId="46" xfId="58" applyNumberFormat="1" applyFill="1" applyBorder="1" applyAlignment="1">
      <alignment horizontal="center" wrapText="1"/>
      <protection/>
    </xf>
    <xf numFmtId="166" fontId="0" fillId="41" borderId="47" xfId="58" applyNumberFormat="1" applyFill="1" applyBorder="1" applyAlignment="1">
      <alignment horizontal="center" wrapText="1"/>
      <protection/>
    </xf>
    <xf numFmtId="0" fontId="0" fillId="0" borderId="43" xfId="58" applyBorder="1" applyAlignment="1">
      <alignment/>
      <protection/>
    </xf>
    <xf numFmtId="1" fontId="0" fillId="0" borderId="0" xfId="58" applyNumberFormat="1" applyFill="1" applyBorder="1">
      <alignment/>
      <protection/>
    </xf>
    <xf numFmtId="1" fontId="0" fillId="0" borderId="0" xfId="58" applyNumberFormat="1">
      <alignment/>
      <protection/>
    </xf>
    <xf numFmtId="1" fontId="0" fillId="0" borderId="19" xfId="58" applyNumberFormat="1" applyFill="1" applyBorder="1">
      <alignment/>
      <protection/>
    </xf>
    <xf numFmtId="180" fontId="0" fillId="0" borderId="24" xfId="58" applyNumberFormat="1" applyFill="1" applyBorder="1">
      <alignment/>
      <protection/>
    </xf>
    <xf numFmtId="180" fontId="0" fillId="0" borderId="18" xfId="58" applyNumberFormat="1" applyFill="1" applyBorder="1">
      <alignment/>
      <protection/>
    </xf>
    <xf numFmtId="1" fontId="0" fillId="0" borderId="24" xfId="58" applyNumberFormat="1" applyFill="1" applyBorder="1">
      <alignment/>
      <protection/>
    </xf>
    <xf numFmtId="180" fontId="0" fillId="0" borderId="68" xfId="58" applyNumberFormat="1" applyFill="1" applyBorder="1">
      <alignment/>
      <protection/>
    </xf>
    <xf numFmtId="1" fontId="0" fillId="0" borderId="18" xfId="58" applyNumberFormat="1" applyFill="1" applyBorder="1">
      <alignment/>
      <protection/>
    </xf>
    <xf numFmtId="41" fontId="0" fillId="0" borderId="73" xfId="58" applyNumberFormat="1" applyFill="1" applyBorder="1">
      <alignment/>
      <protection/>
    </xf>
    <xf numFmtId="1" fontId="0" fillId="0" borderId="17" xfId="58" applyNumberFormat="1" applyFill="1" applyBorder="1">
      <alignment/>
      <protection/>
    </xf>
    <xf numFmtId="180" fontId="0" fillId="0" borderId="16" xfId="58" applyNumberFormat="1" applyFill="1" applyBorder="1">
      <alignment/>
      <protection/>
    </xf>
    <xf numFmtId="180" fontId="0" fillId="0" borderId="10" xfId="58" applyNumberFormat="1" applyFill="1" applyBorder="1">
      <alignment/>
      <protection/>
    </xf>
    <xf numFmtId="1" fontId="0" fillId="0" borderId="16" xfId="58" applyNumberFormat="1" applyFill="1" applyBorder="1">
      <alignment/>
      <protection/>
    </xf>
    <xf numFmtId="180" fontId="0" fillId="0" borderId="71" xfId="58" applyNumberFormat="1" applyFill="1" applyBorder="1">
      <alignment/>
      <protection/>
    </xf>
    <xf numFmtId="1" fontId="0" fillId="0" borderId="10" xfId="58" applyNumberFormat="1" applyFill="1" applyBorder="1">
      <alignment/>
      <protection/>
    </xf>
    <xf numFmtId="1" fontId="0" fillId="0" borderId="28" xfId="58" applyNumberFormat="1" applyFill="1" applyBorder="1">
      <alignment/>
      <protection/>
    </xf>
    <xf numFmtId="180" fontId="0" fillId="0" borderId="27" xfId="58" applyNumberFormat="1" applyFill="1" applyBorder="1">
      <alignment/>
      <protection/>
    </xf>
    <xf numFmtId="180" fontId="0" fillId="0" borderId="26" xfId="58" applyNumberFormat="1" applyFill="1" applyBorder="1">
      <alignment/>
      <protection/>
    </xf>
    <xf numFmtId="1" fontId="0" fillId="0" borderId="27" xfId="58" applyNumberFormat="1" applyFill="1" applyBorder="1">
      <alignment/>
      <protection/>
    </xf>
    <xf numFmtId="180" fontId="0" fillId="0" borderId="75" xfId="58" applyNumberFormat="1" applyFill="1" applyBorder="1">
      <alignment/>
      <protection/>
    </xf>
    <xf numFmtId="1" fontId="0" fillId="0" borderId="26" xfId="58" applyNumberFormat="1" applyFill="1" applyBorder="1">
      <alignment/>
      <protection/>
    </xf>
    <xf numFmtId="1" fontId="0" fillId="41" borderId="25" xfId="58" applyNumberFormat="1" applyFont="1" applyFill="1" applyBorder="1" applyAlignment="1">
      <alignment horizontal="center"/>
      <protection/>
    </xf>
    <xf numFmtId="1" fontId="0" fillId="41" borderId="15" xfId="58" applyNumberFormat="1" applyFont="1" applyFill="1" applyBorder="1" applyAlignment="1">
      <alignment horizontal="center"/>
      <protection/>
    </xf>
    <xf numFmtId="1" fontId="0" fillId="41" borderId="14" xfId="58" applyNumberFormat="1" applyFont="1" applyFill="1" applyBorder="1" applyAlignment="1">
      <alignment horizontal="center"/>
      <protection/>
    </xf>
    <xf numFmtId="0" fontId="0" fillId="0" borderId="0" xfId="58" applyFill="1" applyBorder="1" applyAlignment="1">
      <alignment/>
      <protection/>
    </xf>
    <xf numFmtId="180" fontId="30" fillId="0" borderId="0" xfId="58" applyNumberFormat="1" applyFont="1">
      <alignment/>
      <protection/>
    </xf>
    <xf numFmtId="0" fontId="0" fillId="38" borderId="0" xfId="58" applyFill="1" applyBorder="1">
      <alignment/>
      <protection/>
    </xf>
    <xf numFmtId="0" fontId="0" fillId="38" borderId="0" xfId="54" applyFont="1" applyFill="1" applyBorder="1" applyAlignment="1" applyProtection="1">
      <alignment/>
      <protection/>
    </xf>
    <xf numFmtId="0" fontId="0" fillId="38" borderId="0" xfId="58" applyFill="1" applyBorder="1" applyAlignment="1">
      <alignment wrapText="1"/>
      <protection/>
    </xf>
    <xf numFmtId="0" fontId="0" fillId="38" borderId="29" xfId="58" applyFill="1" applyBorder="1">
      <alignment/>
      <protection/>
    </xf>
    <xf numFmtId="0" fontId="2" fillId="0" borderId="79" xfId="58" applyFont="1" applyBorder="1">
      <alignment/>
      <protection/>
    </xf>
    <xf numFmtId="0" fontId="2" fillId="0" borderId="79" xfId="58" applyFont="1" applyFill="1" applyBorder="1">
      <alignment/>
      <protection/>
    </xf>
    <xf numFmtId="0" fontId="2" fillId="0" borderId="79" xfId="58" applyFont="1" applyBorder="1" applyAlignment="1">
      <alignment wrapText="1"/>
      <protection/>
    </xf>
    <xf numFmtId="9" fontId="0" fillId="0" borderId="19" xfId="58" applyNumberFormat="1" applyBorder="1">
      <alignment/>
      <protection/>
    </xf>
    <xf numFmtId="0" fontId="0" fillId="0" borderId="28" xfId="58" applyBorder="1">
      <alignment/>
      <protection/>
    </xf>
    <xf numFmtId="180" fontId="0" fillId="0" borderId="17" xfId="58" applyNumberFormat="1" applyBorder="1">
      <alignment/>
      <protection/>
    </xf>
    <xf numFmtId="0" fontId="2" fillId="0" borderId="28" xfId="58" applyFont="1" applyFill="1" applyBorder="1" applyAlignment="1">
      <alignment horizontal="center" wrapText="1"/>
      <protection/>
    </xf>
    <xf numFmtId="0" fontId="2" fillId="0" borderId="27" xfId="58" applyFont="1" applyBorder="1" applyAlignment="1">
      <alignment wrapText="1"/>
      <protection/>
    </xf>
    <xf numFmtId="0" fontId="2" fillId="0" borderId="26" xfId="58" applyFont="1" applyBorder="1" applyAlignment="1">
      <alignment wrapText="1"/>
      <protection/>
    </xf>
    <xf numFmtId="171" fontId="0" fillId="0" borderId="0" xfId="58" applyNumberFormat="1">
      <alignment/>
      <protection/>
    </xf>
    <xf numFmtId="0" fontId="0" fillId="0" borderId="30" xfId="58" applyBorder="1" applyAlignment="1">
      <alignment wrapText="1"/>
      <protection/>
    </xf>
    <xf numFmtId="0" fontId="0" fillId="40" borderId="26" xfId="58" applyFill="1" applyBorder="1" applyAlignment="1">
      <alignment wrapText="1"/>
      <protection/>
    </xf>
    <xf numFmtId="180" fontId="0" fillId="0" borderId="0" xfId="58" applyNumberFormat="1">
      <alignment/>
      <protection/>
    </xf>
    <xf numFmtId="180" fontId="0" fillId="0" borderId="0" xfId="58" applyNumberFormat="1" applyBorder="1">
      <alignment/>
      <protection/>
    </xf>
    <xf numFmtId="0" fontId="0" fillId="40" borderId="24" xfId="58" applyFill="1" applyBorder="1">
      <alignment/>
      <protection/>
    </xf>
    <xf numFmtId="0" fontId="0" fillId="35" borderId="41" xfId="58" applyFill="1" applyBorder="1">
      <alignment/>
      <protection/>
    </xf>
    <xf numFmtId="0" fontId="0" fillId="40" borderId="16" xfId="58" applyFill="1" applyBorder="1">
      <alignment/>
      <protection/>
    </xf>
    <xf numFmtId="0" fontId="0" fillId="35" borderId="73" xfId="58" applyFill="1" applyBorder="1">
      <alignment/>
      <protection/>
    </xf>
    <xf numFmtId="0" fontId="0" fillId="40" borderId="27" xfId="58" applyFill="1" applyBorder="1">
      <alignment/>
      <protection/>
    </xf>
    <xf numFmtId="0" fontId="0" fillId="35" borderId="80" xfId="58" applyFill="1" applyBorder="1">
      <alignment/>
      <protection/>
    </xf>
    <xf numFmtId="180" fontId="0" fillId="0" borderId="0" xfId="58" applyNumberFormat="1" applyAlignment="1">
      <alignment wrapText="1"/>
      <protection/>
    </xf>
    <xf numFmtId="0" fontId="0" fillId="0" borderId="46" xfId="58" applyBorder="1" applyAlignment="1">
      <alignment horizontal="center" wrapText="1"/>
      <protection/>
    </xf>
    <xf numFmtId="0" fontId="0" fillId="0" borderId="47" xfId="58" applyBorder="1" applyAlignment="1">
      <alignment horizontal="center"/>
      <protection/>
    </xf>
    <xf numFmtId="0" fontId="0" fillId="0" borderId="14" xfId="58" applyBorder="1">
      <alignment/>
      <protection/>
    </xf>
    <xf numFmtId="180" fontId="0" fillId="0" borderId="19" xfId="58" applyNumberFormat="1" applyBorder="1">
      <alignment/>
      <protection/>
    </xf>
    <xf numFmtId="180" fontId="0" fillId="0" borderId="24" xfId="58" applyNumberFormat="1" applyBorder="1">
      <alignment/>
      <protection/>
    </xf>
    <xf numFmtId="0" fontId="0" fillId="0" borderId="65" xfId="58" applyBorder="1" applyAlignment="1">
      <alignment horizontal="right"/>
      <protection/>
    </xf>
    <xf numFmtId="180" fontId="0" fillId="0" borderId="69" xfId="58" applyNumberFormat="1" applyBorder="1">
      <alignment/>
      <protection/>
    </xf>
    <xf numFmtId="180" fontId="0" fillId="0" borderId="41" xfId="58" applyNumberFormat="1" applyBorder="1">
      <alignment/>
      <protection/>
    </xf>
    <xf numFmtId="180" fontId="0" fillId="0" borderId="16" xfId="58" applyNumberFormat="1" applyBorder="1">
      <alignment/>
      <protection/>
    </xf>
    <xf numFmtId="180" fontId="0" fillId="0" borderId="10" xfId="58" applyNumberFormat="1" applyBorder="1">
      <alignment/>
      <protection/>
    </xf>
    <xf numFmtId="180" fontId="0" fillId="0" borderId="66" xfId="58" applyNumberFormat="1" applyBorder="1" applyAlignment="1">
      <alignment horizontal="right"/>
      <protection/>
    </xf>
    <xf numFmtId="180" fontId="0" fillId="0" borderId="72" xfId="58" applyNumberFormat="1" applyBorder="1">
      <alignment/>
      <protection/>
    </xf>
    <xf numFmtId="180" fontId="0" fillId="0" borderId="73" xfId="58" applyNumberFormat="1" applyBorder="1">
      <alignment/>
      <protection/>
    </xf>
    <xf numFmtId="166" fontId="0" fillId="0" borderId="17" xfId="58" applyNumberFormat="1" applyBorder="1">
      <alignment/>
      <protection/>
    </xf>
    <xf numFmtId="166" fontId="0" fillId="0" borderId="16" xfId="58" applyNumberFormat="1" applyBorder="1">
      <alignment/>
      <protection/>
    </xf>
    <xf numFmtId="166" fontId="0" fillId="0" borderId="10" xfId="58" applyNumberFormat="1" applyBorder="1">
      <alignment/>
      <protection/>
    </xf>
    <xf numFmtId="166" fontId="0" fillId="0" borderId="66" xfId="58" applyNumberFormat="1" applyBorder="1" applyAlignment="1">
      <alignment horizontal="right"/>
      <protection/>
    </xf>
    <xf numFmtId="166" fontId="0" fillId="0" borderId="32" xfId="58" applyNumberFormat="1" applyBorder="1">
      <alignment/>
      <protection/>
    </xf>
    <xf numFmtId="166" fontId="0" fillId="0" borderId="31" xfId="58" applyNumberFormat="1" applyBorder="1">
      <alignment/>
      <protection/>
    </xf>
    <xf numFmtId="166" fontId="0" fillId="0" borderId="23" xfId="58" applyNumberFormat="1" applyBorder="1">
      <alignment/>
      <protection/>
    </xf>
    <xf numFmtId="171" fontId="0" fillId="0" borderId="53" xfId="58" applyNumberFormat="1" applyBorder="1" applyAlignment="1">
      <alignment horizontal="right"/>
      <protection/>
    </xf>
    <xf numFmtId="180" fontId="0" fillId="0" borderId="81" xfId="58" applyNumberFormat="1" applyBorder="1">
      <alignment/>
      <protection/>
    </xf>
    <xf numFmtId="180" fontId="0" fillId="0" borderId="80" xfId="58" applyNumberFormat="1" applyBorder="1">
      <alignment/>
      <protection/>
    </xf>
    <xf numFmtId="0" fontId="0" fillId="0" borderId="25" xfId="58" applyBorder="1" applyAlignment="1">
      <alignment horizontal="center"/>
      <protection/>
    </xf>
    <xf numFmtId="0" fontId="0" fillId="0" borderId="15" xfId="58" applyBorder="1" applyAlignment="1">
      <alignment horizontal="center"/>
      <protection/>
    </xf>
    <xf numFmtId="0" fontId="0" fillId="0" borderId="14" xfId="58" applyBorder="1" applyAlignment="1">
      <alignment horizontal="center"/>
      <protection/>
    </xf>
    <xf numFmtId="0" fontId="0" fillId="0" borderId="21" xfId="58" applyBorder="1" applyAlignment="1">
      <alignment horizontal="left"/>
      <protection/>
    </xf>
    <xf numFmtId="180" fontId="0" fillId="0" borderId="21" xfId="58" applyNumberFormat="1" applyBorder="1">
      <alignment/>
      <protection/>
    </xf>
    <xf numFmtId="180" fontId="0" fillId="0" borderId="20" xfId="58" applyNumberFormat="1" applyBorder="1">
      <alignment/>
      <protection/>
    </xf>
    <xf numFmtId="165" fontId="0" fillId="0" borderId="0" xfId="58" applyNumberFormat="1">
      <alignment/>
      <protection/>
    </xf>
    <xf numFmtId="180" fontId="0" fillId="0" borderId="0" xfId="58" applyNumberFormat="1" applyAlignment="1">
      <alignment horizontal="right"/>
      <protection/>
    </xf>
    <xf numFmtId="166" fontId="0" fillId="0" borderId="0" xfId="58" applyNumberFormat="1">
      <alignment/>
      <protection/>
    </xf>
    <xf numFmtId="171" fontId="0" fillId="0" borderId="0" xfId="58" applyNumberFormat="1" applyBorder="1">
      <alignment/>
      <protection/>
    </xf>
    <xf numFmtId="179" fontId="0" fillId="0" borderId="0" xfId="58" applyNumberFormat="1">
      <alignment/>
      <protection/>
    </xf>
    <xf numFmtId="180" fontId="0" fillId="38" borderId="32" xfId="58" applyNumberFormat="1" applyFill="1" applyBorder="1">
      <alignment/>
      <protection/>
    </xf>
    <xf numFmtId="180" fontId="0" fillId="38" borderId="31" xfId="58" applyNumberFormat="1" applyFill="1" applyBorder="1">
      <alignment/>
      <protection/>
    </xf>
    <xf numFmtId="180" fontId="0" fillId="38" borderId="68" xfId="58" applyNumberFormat="1" applyFill="1" applyBorder="1">
      <alignment/>
      <protection/>
    </xf>
    <xf numFmtId="171" fontId="0" fillId="38" borderId="19" xfId="58" applyNumberFormat="1" applyFill="1" applyBorder="1">
      <alignment/>
      <protection/>
    </xf>
    <xf numFmtId="171" fontId="0" fillId="38" borderId="24" xfId="58" applyNumberFormat="1" applyFill="1" applyBorder="1">
      <alignment/>
      <protection/>
    </xf>
    <xf numFmtId="171" fontId="0" fillId="38" borderId="18" xfId="58" applyNumberFormat="1" applyFill="1" applyBorder="1">
      <alignment/>
      <protection/>
    </xf>
    <xf numFmtId="0" fontId="0" fillId="38" borderId="67" xfId="58" applyFill="1" applyBorder="1">
      <alignment/>
      <protection/>
    </xf>
    <xf numFmtId="180" fontId="0" fillId="38" borderId="18" xfId="58" applyNumberFormat="1" applyFill="1" applyBorder="1">
      <alignment/>
      <protection/>
    </xf>
    <xf numFmtId="180" fontId="0" fillId="36" borderId="19" xfId="58" applyNumberFormat="1" applyFill="1" applyBorder="1">
      <alignment/>
      <protection/>
    </xf>
    <xf numFmtId="180" fontId="0" fillId="36" borderId="68" xfId="58" applyNumberFormat="1" applyFill="1" applyBorder="1">
      <alignment/>
      <protection/>
    </xf>
    <xf numFmtId="3" fontId="0" fillId="36" borderId="19" xfId="58" applyNumberFormat="1" applyFill="1" applyBorder="1">
      <alignment/>
      <protection/>
    </xf>
    <xf numFmtId="179" fontId="0" fillId="36" borderId="18" xfId="58" applyNumberFormat="1" applyFill="1" applyBorder="1">
      <alignment/>
      <protection/>
    </xf>
    <xf numFmtId="166" fontId="0" fillId="36" borderId="41" xfId="58" applyNumberFormat="1" applyFill="1" applyBorder="1">
      <alignment/>
      <protection/>
    </xf>
    <xf numFmtId="0" fontId="0" fillId="0" borderId="23" xfId="58" applyFill="1" applyBorder="1">
      <alignment/>
      <protection/>
    </xf>
    <xf numFmtId="180" fontId="0" fillId="38" borderId="71" xfId="58" applyNumberFormat="1" applyFill="1" applyBorder="1">
      <alignment/>
      <protection/>
    </xf>
    <xf numFmtId="171" fontId="0" fillId="38" borderId="17" xfId="58" applyNumberFormat="1" applyFill="1" applyBorder="1">
      <alignment/>
      <protection/>
    </xf>
    <xf numFmtId="171" fontId="0" fillId="38" borderId="16" xfId="58" applyNumberFormat="1" applyFill="1" applyBorder="1">
      <alignment/>
      <protection/>
    </xf>
    <xf numFmtId="171" fontId="0" fillId="38" borderId="10" xfId="58" applyNumberFormat="1" applyFill="1" applyBorder="1">
      <alignment/>
      <protection/>
    </xf>
    <xf numFmtId="0" fontId="0" fillId="38" borderId="70" xfId="58" applyFill="1" applyBorder="1">
      <alignment/>
      <protection/>
    </xf>
    <xf numFmtId="180" fontId="0" fillId="38" borderId="10" xfId="58" applyNumberFormat="1" applyFill="1" applyBorder="1">
      <alignment/>
      <protection/>
    </xf>
    <xf numFmtId="180" fontId="0" fillId="36" borderId="17" xfId="58" applyNumberFormat="1" applyFill="1" applyBorder="1">
      <alignment/>
      <protection/>
    </xf>
    <xf numFmtId="180" fontId="0" fillId="36" borderId="71" xfId="58" applyNumberFormat="1" applyFill="1" applyBorder="1">
      <alignment/>
      <protection/>
    </xf>
    <xf numFmtId="3" fontId="0" fillId="36" borderId="17" xfId="58" applyNumberFormat="1" applyFill="1" applyBorder="1">
      <alignment/>
      <protection/>
    </xf>
    <xf numFmtId="179" fontId="0" fillId="36" borderId="10" xfId="58" applyNumberFormat="1" applyFill="1" applyBorder="1">
      <alignment/>
      <protection/>
    </xf>
    <xf numFmtId="166" fontId="0" fillId="36" borderId="73" xfId="58" applyNumberFormat="1" applyFill="1" applyBorder="1">
      <alignment/>
      <protection/>
    </xf>
    <xf numFmtId="0" fontId="0" fillId="38" borderId="10" xfId="58" applyFill="1" applyBorder="1">
      <alignment/>
      <protection/>
    </xf>
    <xf numFmtId="180" fontId="0" fillId="38" borderId="82" xfId="58" applyNumberFormat="1" applyFill="1" applyBorder="1">
      <alignment/>
      <protection/>
    </xf>
    <xf numFmtId="3" fontId="0" fillId="38" borderId="32" xfId="58" applyNumberFormat="1" applyFill="1" applyBorder="1">
      <alignment/>
      <protection/>
    </xf>
    <xf numFmtId="171" fontId="0" fillId="38" borderId="31" xfId="58" applyNumberFormat="1" applyFill="1" applyBorder="1">
      <alignment/>
      <protection/>
    </xf>
    <xf numFmtId="171" fontId="0" fillId="38" borderId="23" xfId="58" applyNumberFormat="1" applyFill="1" applyBorder="1">
      <alignment/>
      <protection/>
    </xf>
    <xf numFmtId="0" fontId="0" fillId="38" borderId="40" xfId="58" applyFill="1" applyBorder="1">
      <alignment/>
      <protection/>
    </xf>
    <xf numFmtId="0" fontId="0" fillId="38" borderId="23" xfId="58" applyFill="1" applyBorder="1">
      <alignment/>
      <protection/>
    </xf>
    <xf numFmtId="180" fontId="0" fillId="36" borderId="32" xfId="58" applyNumberFormat="1" applyFill="1" applyBorder="1">
      <alignment/>
      <protection/>
    </xf>
    <xf numFmtId="180" fontId="0" fillId="36" borderId="82" xfId="58" applyNumberFormat="1" applyFill="1" applyBorder="1">
      <alignment/>
      <protection/>
    </xf>
    <xf numFmtId="3" fontId="0" fillId="36" borderId="32" xfId="58" applyNumberFormat="1" applyFill="1" applyBorder="1">
      <alignment/>
      <protection/>
    </xf>
    <xf numFmtId="179" fontId="0" fillId="36" borderId="23" xfId="58" applyNumberFormat="1" applyFill="1" applyBorder="1">
      <alignment/>
      <protection/>
    </xf>
    <xf numFmtId="166" fontId="0" fillId="36" borderId="80" xfId="58" applyNumberFormat="1" applyFill="1" applyBorder="1">
      <alignment/>
      <protection/>
    </xf>
    <xf numFmtId="0" fontId="0" fillId="38" borderId="25" xfId="58" applyFill="1" applyBorder="1" applyAlignment="1">
      <alignment wrapText="1"/>
      <protection/>
    </xf>
    <xf numFmtId="180" fontId="0" fillId="38" borderId="15" xfId="58" applyNumberFormat="1" applyFill="1" applyBorder="1" applyAlignment="1">
      <alignment horizontal="center" wrapText="1"/>
      <protection/>
    </xf>
    <xf numFmtId="180" fontId="0" fillId="38" borderId="60" xfId="58" applyNumberFormat="1" applyFill="1" applyBorder="1" applyAlignment="1">
      <alignment horizontal="center" wrapText="1"/>
      <protection/>
    </xf>
    <xf numFmtId="171" fontId="0" fillId="38" borderId="25" xfId="58" applyNumberFormat="1" applyFill="1" applyBorder="1" applyAlignment="1">
      <alignment horizontal="center" wrapText="1"/>
      <protection/>
    </xf>
    <xf numFmtId="171" fontId="0" fillId="38" borderId="15" xfId="58" applyNumberFormat="1" applyFill="1" applyBorder="1" applyAlignment="1">
      <alignment horizontal="center" wrapText="1"/>
      <protection/>
    </xf>
    <xf numFmtId="171" fontId="0" fillId="38" borderId="14" xfId="58" applyNumberFormat="1" applyFill="1" applyBorder="1" applyAlignment="1">
      <alignment horizontal="center" wrapText="1"/>
      <protection/>
    </xf>
    <xf numFmtId="0" fontId="0" fillId="38" borderId="77" xfId="58" applyFill="1" applyBorder="1" applyAlignment="1">
      <alignment wrapText="1"/>
      <protection/>
    </xf>
    <xf numFmtId="0" fontId="0" fillId="38" borderId="14" xfId="58" applyFill="1" applyBorder="1" applyAlignment="1">
      <alignment wrapText="1"/>
      <protection/>
    </xf>
    <xf numFmtId="180" fontId="0" fillId="36" borderId="25" xfId="58" applyNumberFormat="1" applyFill="1" applyBorder="1" applyAlignment="1">
      <alignment horizontal="center" wrapText="1"/>
      <protection/>
    </xf>
    <xf numFmtId="180" fontId="0" fillId="36" borderId="60" xfId="58" applyNumberFormat="1" applyFill="1" applyBorder="1" applyAlignment="1">
      <alignment horizontal="center" wrapText="1"/>
      <protection/>
    </xf>
    <xf numFmtId="3" fontId="0" fillId="36" borderId="25" xfId="58" applyNumberFormat="1" applyFill="1" applyBorder="1" applyAlignment="1">
      <alignment horizontal="center" wrapText="1"/>
      <protection/>
    </xf>
    <xf numFmtId="179" fontId="0" fillId="36" borderId="14" xfId="58" applyNumberFormat="1" applyFill="1" applyBorder="1" applyAlignment="1">
      <alignment horizontal="center" wrapText="1"/>
      <protection/>
    </xf>
    <xf numFmtId="166" fontId="0" fillId="36" borderId="20" xfId="58" applyNumberFormat="1" applyFill="1" applyBorder="1" applyAlignment="1">
      <alignment horizontal="center"/>
      <protection/>
    </xf>
    <xf numFmtId="0" fontId="0" fillId="0" borderId="77" xfId="58" applyBorder="1" applyAlignment="1">
      <alignment horizontal="center" wrapText="1"/>
      <protection/>
    </xf>
    <xf numFmtId="0" fontId="0" fillId="38" borderId="38" xfId="58" applyFill="1" applyBorder="1" applyAlignment="1">
      <alignment horizontal="center"/>
      <protection/>
    </xf>
    <xf numFmtId="180" fontId="0" fillId="38" borderId="38" xfId="58" applyNumberFormat="1" applyFill="1" applyBorder="1" applyAlignment="1">
      <alignment horizontal="left"/>
      <protection/>
    </xf>
    <xf numFmtId="166" fontId="0" fillId="0" borderId="0" xfId="58" applyNumberFormat="1" applyAlignment="1">
      <alignment wrapText="1"/>
      <protection/>
    </xf>
    <xf numFmtId="180" fontId="0" fillId="0" borderId="19" xfId="58" applyNumberFormat="1" applyBorder="1" applyAlignment="1">
      <alignment horizontal="left"/>
      <protection/>
    </xf>
    <xf numFmtId="180" fontId="0" fillId="0" borderId="24" xfId="58" applyNumberFormat="1" applyBorder="1" applyAlignment="1">
      <alignment horizontal="left"/>
      <protection/>
    </xf>
    <xf numFmtId="0" fontId="0" fillId="0" borderId="18" xfId="58" applyBorder="1" applyAlignment="1">
      <alignment horizontal="left"/>
      <protection/>
    </xf>
    <xf numFmtId="180" fontId="0" fillId="0" borderId="17" xfId="58" applyNumberFormat="1" applyBorder="1" applyAlignment="1">
      <alignment horizontal="left"/>
      <protection/>
    </xf>
    <xf numFmtId="180" fontId="0" fillId="0" borderId="16" xfId="58" applyNumberFormat="1" applyBorder="1" applyAlignment="1">
      <alignment horizontal="left"/>
      <protection/>
    </xf>
    <xf numFmtId="0" fontId="0" fillId="0" borderId="10" xfId="58" applyBorder="1" applyAlignment="1">
      <alignment horizontal="left"/>
      <protection/>
    </xf>
    <xf numFmtId="171" fontId="0" fillId="0" borderId="10" xfId="58" applyNumberFormat="1" applyBorder="1" applyAlignment="1">
      <alignment horizontal="left"/>
      <protection/>
    </xf>
    <xf numFmtId="0" fontId="0" fillId="0" borderId="27" xfId="58" applyBorder="1" applyAlignment="1">
      <alignment horizontal="left"/>
      <protection/>
    </xf>
    <xf numFmtId="0" fontId="0" fillId="0" borderId="26" xfId="58" applyBorder="1" applyAlignment="1">
      <alignment horizontal="left"/>
      <protection/>
    </xf>
    <xf numFmtId="0" fontId="30" fillId="0" borderId="0" xfId="58" applyFont="1" applyAlignment="1">
      <alignment horizontal="left"/>
      <protection/>
    </xf>
    <xf numFmtId="180" fontId="0" fillId="0" borderId="0" xfId="58" applyNumberFormat="1" applyAlignment="1">
      <alignment horizontal="left"/>
      <protection/>
    </xf>
    <xf numFmtId="0" fontId="0" fillId="0" borderId="16" xfId="58" applyBorder="1" applyAlignment="1">
      <alignment horizontal="left"/>
      <protection/>
    </xf>
    <xf numFmtId="166" fontId="0" fillId="0" borderId="27" xfId="58" applyNumberFormat="1" applyBorder="1" applyAlignment="1">
      <alignment horizontal="left"/>
      <protection/>
    </xf>
    <xf numFmtId="1" fontId="0" fillId="37" borderId="19" xfId="58" applyNumberFormat="1" applyFill="1" applyBorder="1" applyAlignment="1">
      <alignment horizontal="left"/>
      <protection/>
    </xf>
    <xf numFmtId="166" fontId="0" fillId="37" borderId="18" xfId="58" applyNumberFormat="1" applyFill="1" applyBorder="1" applyAlignment="1">
      <alignment horizontal="left"/>
      <protection/>
    </xf>
    <xf numFmtId="1" fontId="0" fillId="37" borderId="17" xfId="58" applyNumberFormat="1" applyFill="1" applyBorder="1" applyAlignment="1">
      <alignment horizontal="left"/>
      <protection/>
    </xf>
    <xf numFmtId="171" fontId="0" fillId="37" borderId="10" xfId="58" applyNumberFormat="1" applyFill="1" applyBorder="1" applyAlignment="1">
      <alignment horizontal="left"/>
      <protection/>
    </xf>
    <xf numFmtId="171" fontId="0" fillId="37" borderId="28" xfId="58" applyNumberFormat="1" applyFill="1" applyBorder="1" applyAlignment="1">
      <alignment horizontal="center" wrapText="1"/>
      <protection/>
    </xf>
    <xf numFmtId="0" fontId="0" fillId="37" borderId="26" xfId="58" applyFill="1" applyBorder="1" applyAlignment="1">
      <alignment horizontal="left"/>
      <protection/>
    </xf>
    <xf numFmtId="166" fontId="0" fillId="36" borderId="19" xfId="58" applyNumberFormat="1" applyFill="1" applyBorder="1">
      <alignment/>
      <protection/>
    </xf>
    <xf numFmtId="166" fontId="0" fillId="36" borderId="24" xfId="58" applyNumberFormat="1" applyFill="1" applyBorder="1">
      <alignment/>
      <protection/>
    </xf>
    <xf numFmtId="166" fontId="0" fillId="36" borderId="18" xfId="58" applyNumberFormat="1" applyFill="1" applyBorder="1" applyAlignment="1">
      <alignment horizontal="left"/>
      <protection/>
    </xf>
    <xf numFmtId="166" fontId="0" fillId="36" borderId="17" xfId="58" applyNumberFormat="1" applyFill="1" applyBorder="1">
      <alignment/>
      <protection/>
    </xf>
    <xf numFmtId="166" fontId="0" fillId="36" borderId="16" xfId="58" applyNumberFormat="1" applyFill="1" applyBorder="1">
      <alignment/>
      <protection/>
    </xf>
    <xf numFmtId="171" fontId="0" fillId="36" borderId="10" xfId="58" applyNumberFormat="1" applyFill="1" applyBorder="1" applyAlignment="1">
      <alignment horizontal="left"/>
      <protection/>
    </xf>
    <xf numFmtId="171" fontId="0" fillId="36" borderId="28" xfId="58" applyNumberFormat="1" applyFill="1" applyBorder="1" applyAlignment="1">
      <alignment horizontal="center" wrapText="1"/>
      <protection/>
    </xf>
    <xf numFmtId="171" fontId="0" fillId="36" borderId="27" xfId="58" applyNumberFormat="1" applyFill="1" applyBorder="1" applyAlignment="1">
      <alignment horizontal="center" wrapText="1"/>
      <protection/>
    </xf>
    <xf numFmtId="0" fontId="0" fillId="36" borderId="26" xfId="58" applyFill="1" applyBorder="1" applyAlignment="1">
      <alignment horizontal="left"/>
      <protection/>
    </xf>
    <xf numFmtId="0" fontId="0" fillId="0" borderId="0" xfId="58" applyFill="1" applyAlignment="1">
      <alignment horizontal="left"/>
      <protection/>
    </xf>
    <xf numFmtId="0" fontId="25" fillId="0" borderId="0" xfId="58" applyFont="1" applyFill="1" applyAlignment="1">
      <alignment horizontal="left"/>
      <protection/>
    </xf>
    <xf numFmtId="0" fontId="30" fillId="0" borderId="0" xfId="58" applyFont="1" applyFill="1" applyAlignment="1">
      <alignment horizontal="left"/>
      <protection/>
    </xf>
    <xf numFmtId="166" fontId="0" fillId="37" borderId="73" xfId="58" applyNumberFormat="1" applyFill="1" applyBorder="1">
      <alignment/>
      <protection/>
    </xf>
    <xf numFmtId="166" fontId="0" fillId="37" borderId="72" xfId="58" applyNumberFormat="1" applyFill="1" applyBorder="1">
      <alignment/>
      <protection/>
    </xf>
    <xf numFmtId="0" fontId="0" fillId="37" borderId="0" xfId="58" applyFill="1" applyAlignment="1">
      <alignment horizontal="left"/>
      <protection/>
    </xf>
    <xf numFmtId="0" fontId="0" fillId="34" borderId="33" xfId="58" applyFill="1" applyBorder="1" applyAlignment="1">
      <alignment/>
      <protection/>
    </xf>
    <xf numFmtId="166" fontId="0" fillId="34" borderId="33" xfId="58" applyNumberFormat="1" applyFill="1" applyBorder="1">
      <alignment/>
      <protection/>
    </xf>
    <xf numFmtId="166" fontId="0" fillId="34" borderId="33" xfId="58" applyNumberFormat="1" applyFill="1" applyBorder="1" applyAlignment="1">
      <alignment horizontal="left"/>
      <protection/>
    </xf>
    <xf numFmtId="166" fontId="0" fillId="37" borderId="43" xfId="58" applyNumberFormat="1" applyFill="1" applyBorder="1">
      <alignment/>
      <protection/>
    </xf>
    <xf numFmtId="166" fontId="0" fillId="34" borderId="42" xfId="58" applyNumberFormat="1" applyFill="1" applyBorder="1">
      <alignment/>
      <protection/>
    </xf>
    <xf numFmtId="0" fontId="0" fillId="34" borderId="42" xfId="58" applyFill="1" applyBorder="1" applyAlignment="1">
      <alignment/>
      <protection/>
    </xf>
    <xf numFmtId="171" fontId="0" fillId="34" borderId="42" xfId="58" applyNumberFormat="1" applyFill="1" applyBorder="1" applyAlignment="1">
      <alignment horizontal="left"/>
      <protection/>
    </xf>
    <xf numFmtId="0" fontId="0" fillId="37" borderId="21" xfId="58" applyFill="1" applyBorder="1" applyAlignment="1">
      <alignment wrapText="1"/>
      <protection/>
    </xf>
    <xf numFmtId="0" fontId="0" fillId="34" borderId="29" xfId="58" applyFill="1" applyBorder="1" applyAlignment="1">
      <alignment wrapText="1"/>
      <protection/>
    </xf>
    <xf numFmtId="0" fontId="0" fillId="34" borderId="21" xfId="58" applyFill="1" applyBorder="1" applyAlignment="1">
      <alignment wrapText="1"/>
      <protection/>
    </xf>
    <xf numFmtId="0" fontId="0" fillId="34" borderId="20" xfId="58" applyFill="1" applyBorder="1" applyAlignment="1">
      <alignment horizontal="left"/>
      <protection/>
    </xf>
    <xf numFmtId="165" fontId="0" fillId="0" borderId="0" xfId="58" applyNumberFormat="1" applyAlignment="1">
      <alignment horizontal="left"/>
      <protection/>
    </xf>
    <xf numFmtId="180" fontId="0" fillId="33" borderId="34" xfId="58" applyNumberFormat="1" applyFill="1" applyBorder="1">
      <alignment/>
      <protection/>
    </xf>
    <xf numFmtId="0" fontId="0" fillId="33" borderId="67" xfId="58" applyFill="1" applyBorder="1">
      <alignment/>
      <protection/>
    </xf>
    <xf numFmtId="0" fontId="0" fillId="33" borderId="24" xfId="58" applyFill="1" applyBorder="1">
      <alignment/>
      <protection/>
    </xf>
    <xf numFmtId="171" fontId="0" fillId="33" borderId="18" xfId="58" applyNumberFormat="1" applyFill="1" applyBorder="1">
      <alignment/>
      <protection/>
    </xf>
    <xf numFmtId="166" fontId="0" fillId="36" borderId="34" xfId="58" applyNumberFormat="1" applyFill="1" applyBorder="1">
      <alignment/>
      <protection/>
    </xf>
    <xf numFmtId="0" fontId="0" fillId="36" borderId="67" xfId="58" applyFill="1" applyBorder="1">
      <alignment/>
      <protection/>
    </xf>
    <xf numFmtId="171" fontId="0" fillId="36" borderId="18" xfId="58" applyNumberFormat="1" applyFill="1" applyBorder="1">
      <alignment/>
      <protection/>
    </xf>
    <xf numFmtId="166" fontId="0" fillId="37" borderId="69" xfId="58" applyNumberFormat="1" applyFill="1" applyBorder="1">
      <alignment/>
      <protection/>
    </xf>
    <xf numFmtId="166" fontId="0" fillId="34" borderId="34" xfId="58" applyNumberFormat="1" applyFill="1" applyBorder="1">
      <alignment/>
      <protection/>
    </xf>
    <xf numFmtId="180" fontId="0" fillId="0" borderId="41" xfId="58" applyNumberFormat="1" applyBorder="1" applyAlignment="1">
      <alignment horizontal="left"/>
      <protection/>
    </xf>
    <xf numFmtId="180" fontId="0" fillId="33" borderId="33" xfId="58" applyNumberFormat="1" applyFill="1" applyBorder="1">
      <alignment/>
      <protection/>
    </xf>
    <xf numFmtId="180" fontId="0" fillId="33" borderId="70" xfId="58" applyNumberFormat="1" applyFill="1" applyBorder="1">
      <alignment/>
      <protection/>
    </xf>
    <xf numFmtId="180" fontId="0" fillId="33" borderId="16" xfId="58" applyNumberFormat="1" applyFill="1" applyBorder="1">
      <alignment/>
      <protection/>
    </xf>
    <xf numFmtId="180" fontId="0" fillId="33" borderId="10" xfId="58" applyNumberFormat="1" applyFill="1" applyBorder="1">
      <alignment/>
      <protection/>
    </xf>
    <xf numFmtId="166" fontId="0" fillId="36" borderId="33" xfId="58" applyNumberFormat="1" applyFill="1" applyBorder="1">
      <alignment/>
      <protection/>
    </xf>
    <xf numFmtId="166" fontId="0" fillId="36" borderId="70" xfId="58" applyNumberFormat="1" applyFill="1" applyBorder="1">
      <alignment/>
      <protection/>
    </xf>
    <xf numFmtId="166" fontId="0" fillId="36" borderId="10" xfId="58" applyNumberFormat="1" applyFill="1" applyBorder="1">
      <alignment/>
      <protection/>
    </xf>
    <xf numFmtId="166" fontId="0" fillId="0" borderId="73" xfId="58" applyNumberFormat="1" applyBorder="1" applyAlignment="1">
      <alignment horizontal="left"/>
      <protection/>
    </xf>
    <xf numFmtId="180" fontId="0" fillId="33" borderId="35" xfId="58" applyNumberFormat="1" applyFill="1" applyBorder="1">
      <alignment/>
      <protection/>
    </xf>
    <xf numFmtId="0" fontId="0" fillId="33" borderId="40" xfId="58" applyFill="1" applyBorder="1">
      <alignment/>
      <protection/>
    </xf>
    <xf numFmtId="180" fontId="0" fillId="33" borderId="31" xfId="58" applyNumberFormat="1" applyFill="1" applyBorder="1">
      <alignment/>
      <protection/>
    </xf>
    <xf numFmtId="180" fontId="0" fillId="33" borderId="23" xfId="58" applyNumberFormat="1" applyFill="1" applyBorder="1">
      <alignment/>
      <protection/>
    </xf>
    <xf numFmtId="166" fontId="0" fillId="36" borderId="35" xfId="58" applyNumberFormat="1" applyFill="1" applyBorder="1">
      <alignment/>
      <protection/>
    </xf>
    <xf numFmtId="166" fontId="0" fillId="36" borderId="40" xfId="58" applyNumberFormat="1" applyFill="1" applyBorder="1">
      <alignment/>
      <protection/>
    </xf>
    <xf numFmtId="166" fontId="0" fillId="36" borderId="23" xfId="58" applyNumberFormat="1" applyFill="1" applyBorder="1">
      <alignment/>
      <protection/>
    </xf>
    <xf numFmtId="166" fontId="0" fillId="37" borderId="81" xfId="58" applyNumberFormat="1" applyFill="1" applyBorder="1">
      <alignment/>
      <protection/>
    </xf>
    <xf numFmtId="166" fontId="0" fillId="34" borderId="35" xfId="58" applyNumberFormat="1" applyFill="1" applyBorder="1">
      <alignment/>
      <protection/>
    </xf>
    <xf numFmtId="171" fontId="0" fillId="0" borderId="80" xfId="58" applyNumberFormat="1" applyBorder="1" applyAlignment="1">
      <alignment horizontal="left"/>
      <protection/>
    </xf>
    <xf numFmtId="0" fontId="0" fillId="33" borderId="29" xfId="58" applyFill="1" applyBorder="1" applyAlignment="1">
      <alignment wrapText="1"/>
      <protection/>
    </xf>
    <xf numFmtId="0" fontId="0" fillId="33" borderId="77" xfId="58" applyFill="1" applyBorder="1" applyAlignment="1">
      <alignment wrapText="1"/>
      <protection/>
    </xf>
    <xf numFmtId="180" fontId="0" fillId="33" borderId="15" xfId="58" applyNumberFormat="1" applyFill="1" applyBorder="1" applyAlignment="1">
      <alignment horizontal="center" wrapText="1"/>
      <protection/>
    </xf>
    <xf numFmtId="180" fontId="0" fillId="33" borderId="14" xfId="58" applyNumberFormat="1" applyFill="1" applyBorder="1" applyAlignment="1">
      <alignment horizontal="center" wrapText="1"/>
      <protection/>
    </xf>
    <xf numFmtId="171" fontId="0" fillId="36" borderId="29" xfId="58" applyNumberFormat="1" applyFill="1" applyBorder="1" applyAlignment="1">
      <alignment horizontal="center" wrapText="1"/>
      <protection/>
    </xf>
    <xf numFmtId="171" fontId="0" fillId="36" borderId="77" xfId="58" applyNumberFormat="1" applyFill="1" applyBorder="1" applyAlignment="1">
      <alignment horizontal="center" wrapText="1"/>
      <protection/>
    </xf>
    <xf numFmtId="171" fontId="0" fillId="36" borderId="14" xfId="58" applyNumberFormat="1" applyFill="1" applyBorder="1" applyAlignment="1">
      <alignment horizontal="center" wrapText="1"/>
      <protection/>
    </xf>
    <xf numFmtId="0" fontId="0" fillId="0" borderId="20" xfId="58" applyBorder="1" applyAlignment="1">
      <alignment horizontal="left"/>
      <protection/>
    </xf>
    <xf numFmtId="0" fontId="2" fillId="0" borderId="0" xfId="58" applyFont="1" applyAlignment="1">
      <alignment horizontal="left"/>
      <protection/>
    </xf>
    <xf numFmtId="0" fontId="0" fillId="0" borderId="0" xfId="58" applyAlignment="1">
      <alignment horizontal="left" wrapText="1"/>
      <protection/>
    </xf>
    <xf numFmtId="0" fontId="0" fillId="0" borderId="36" xfId="58" applyBorder="1">
      <alignment/>
      <protection/>
    </xf>
    <xf numFmtId="0" fontId="0" fillId="0" borderId="11" xfId="58" applyBorder="1" applyAlignment="1">
      <alignment wrapText="1"/>
      <protection/>
    </xf>
    <xf numFmtId="4" fontId="0" fillId="0" borderId="0" xfId="58" applyNumberFormat="1" applyBorder="1">
      <alignment/>
      <protection/>
    </xf>
    <xf numFmtId="0" fontId="2" fillId="0" borderId="0" xfId="58" applyFont="1" applyBorder="1" applyAlignment="1">
      <alignment wrapText="1"/>
      <protection/>
    </xf>
    <xf numFmtId="0" fontId="0" fillId="0" borderId="0" xfId="58" applyBorder="1" applyAlignment="1">
      <alignment wrapText="1"/>
      <protection/>
    </xf>
    <xf numFmtId="0" fontId="0" fillId="0" borderId="38" xfId="58" applyBorder="1">
      <alignment/>
      <protection/>
    </xf>
    <xf numFmtId="171" fontId="0" fillId="0" borderId="38" xfId="58" applyNumberFormat="1" applyBorder="1">
      <alignment/>
      <protection/>
    </xf>
    <xf numFmtId="0" fontId="0" fillId="0" borderId="56" xfId="58" applyFill="1" applyBorder="1">
      <alignment/>
      <protection/>
    </xf>
    <xf numFmtId="0" fontId="0" fillId="0" borderId="13" xfId="58" applyBorder="1">
      <alignment/>
      <protection/>
    </xf>
    <xf numFmtId="171" fontId="0" fillId="0" borderId="12" xfId="58" applyNumberFormat="1" applyBorder="1">
      <alignment/>
      <protection/>
    </xf>
    <xf numFmtId="0" fontId="0" fillId="0" borderId="48" xfId="58" applyFill="1" applyBorder="1">
      <alignment/>
      <protection/>
    </xf>
    <xf numFmtId="0" fontId="0" fillId="0" borderId="83" xfId="58" applyFill="1" applyBorder="1">
      <alignment/>
      <protection/>
    </xf>
    <xf numFmtId="2" fontId="2" fillId="0" borderId="22" xfId="58" applyNumberFormat="1" applyFont="1" applyFill="1" applyBorder="1">
      <alignment/>
      <protection/>
    </xf>
    <xf numFmtId="4" fontId="2" fillId="0" borderId="25" xfId="58" applyNumberFormat="1" applyFont="1" applyBorder="1" applyAlignment="1">
      <alignment wrapText="1"/>
      <protection/>
    </xf>
    <xf numFmtId="4" fontId="2" fillId="0" borderId="15" xfId="58" applyNumberFormat="1" applyFont="1" applyBorder="1" applyAlignment="1">
      <alignment wrapText="1"/>
      <protection/>
    </xf>
    <xf numFmtId="4" fontId="2" fillId="0" borderId="14" xfId="58" applyNumberFormat="1" applyFont="1" applyBorder="1" applyAlignment="1">
      <alignment wrapText="1"/>
      <protection/>
    </xf>
    <xf numFmtId="0" fontId="2" fillId="0" borderId="25" xfId="58" applyFont="1" applyBorder="1">
      <alignment/>
      <protection/>
    </xf>
    <xf numFmtId="4" fontId="2" fillId="0" borderId="15" xfId="58" applyNumberFormat="1" applyFont="1" applyBorder="1">
      <alignment/>
      <protection/>
    </xf>
    <xf numFmtId="4" fontId="2" fillId="0" borderId="14" xfId="58" applyNumberFormat="1" applyFont="1" applyBorder="1">
      <alignment/>
      <protection/>
    </xf>
    <xf numFmtId="0" fontId="2" fillId="0" borderId="29" xfId="58" applyFont="1" applyBorder="1" applyAlignment="1">
      <alignment wrapText="1"/>
      <protection/>
    </xf>
    <xf numFmtId="0" fontId="2" fillId="0" borderId="20" xfId="58" applyFont="1" applyBorder="1" applyAlignment="1">
      <alignment wrapText="1"/>
      <protection/>
    </xf>
    <xf numFmtId="177" fontId="0" fillId="0" borderId="0" xfId="58" applyNumberFormat="1" applyBorder="1">
      <alignment/>
      <protection/>
    </xf>
    <xf numFmtId="2" fontId="0" fillId="0" borderId="18" xfId="58" applyNumberFormat="1" applyFill="1" applyBorder="1" applyAlignment="1">
      <alignment wrapText="1"/>
      <protection/>
    </xf>
    <xf numFmtId="4" fontId="2" fillId="0" borderId="21" xfId="58" applyNumberFormat="1" applyFont="1" applyBorder="1">
      <alignment/>
      <protection/>
    </xf>
    <xf numFmtId="0" fontId="25" fillId="0" borderId="0" xfId="58" applyFont="1" applyAlignment="1">
      <alignment/>
      <protection/>
    </xf>
    <xf numFmtId="165" fontId="0" fillId="0" borderId="12" xfId="58" applyNumberFormat="1" applyBorder="1" applyAlignment="1">
      <alignment wrapText="1"/>
      <protection/>
    </xf>
    <xf numFmtId="0" fontId="25" fillId="0" borderId="0" xfId="58" applyFont="1" applyAlignment="1">
      <alignment wrapText="1"/>
      <protection/>
    </xf>
    <xf numFmtId="165" fontId="0" fillId="0" borderId="19" xfId="58" applyNumberFormat="1" applyBorder="1" applyAlignment="1">
      <alignment wrapText="1"/>
      <protection/>
    </xf>
    <xf numFmtId="165" fontId="0" fillId="0" borderId="24" xfId="58" applyNumberFormat="1" applyBorder="1" applyAlignment="1">
      <alignment wrapText="1"/>
      <protection/>
    </xf>
    <xf numFmtId="0" fontId="2" fillId="0" borderId="18" xfId="58" applyFont="1" applyBorder="1" applyAlignment="1">
      <alignment wrapText="1"/>
      <protection/>
    </xf>
    <xf numFmtId="0" fontId="0" fillId="35" borderId="70" xfId="58" applyFill="1" applyBorder="1">
      <alignment/>
      <protection/>
    </xf>
    <xf numFmtId="0" fontId="2" fillId="0" borderId="10" xfId="58" applyFont="1" applyBorder="1" applyAlignment="1">
      <alignment wrapText="1"/>
      <protection/>
    </xf>
    <xf numFmtId="0" fontId="25" fillId="0" borderId="54" xfId="58" applyFont="1" applyBorder="1" applyAlignment="1">
      <alignment horizontal="left" wrapText="1"/>
      <protection/>
    </xf>
    <xf numFmtId="0" fontId="2" fillId="0" borderId="74" xfId="58" applyFont="1" applyBorder="1" applyAlignment="1">
      <alignment wrapText="1"/>
      <protection/>
    </xf>
    <xf numFmtId="0" fontId="2" fillId="0" borderId="31" xfId="58" applyFont="1" applyBorder="1" applyAlignment="1">
      <alignment wrapText="1"/>
      <protection/>
    </xf>
    <xf numFmtId="0" fontId="0" fillId="0" borderId="23" xfId="58" applyBorder="1">
      <alignment/>
      <protection/>
    </xf>
    <xf numFmtId="0" fontId="2" fillId="0" borderId="38" xfId="58" applyFont="1" applyFill="1" applyBorder="1">
      <alignment/>
      <protection/>
    </xf>
    <xf numFmtId="165" fontId="0" fillId="0" borderId="0" xfId="58" applyNumberFormat="1" applyBorder="1" applyAlignment="1">
      <alignment wrapText="1"/>
      <protection/>
    </xf>
    <xf numFmtId="0" fontId="0" fillId="0" borderId="0" xfId="58" applyFont="1" applyBorder="1" applyAlignment="1">
      <alignment/>
      <protection/>
    </xf>
    <xf numFmtId="0" fontId="25" fillId="0" borderId="0" xfId="58" applyFont="1" applyAlignment="1">
      <alignment horizontal="left" indent="2"/>
      <protection/>
    </xf>
    <xf numFmtId="165" fontId="0" fillId="0" borderId="44" xfId="58" applyNumberFormat="1" applyBorder="1" applyAlignment="1">
      <alignment wrapText="1"/>
      <protection/>
    </xf>
    <xf numFmtId="165" fontId="0" fillId="0" borderId="45" xfId="58" applyNumberFormat="1" applyBorder="1" applyAlignment="1">
      <alignment wrapText="1"/>
      <protection/>
    </xf>
    <xf numFmtId="0" fontId="2" fillId="0" borderId="83" xfId="58" applyFont="1" applyBorder="1" applyAlignment="1">
      <alignment wrapText="1"/>
      <protection/>
    </xf>
    <xf numFmtId="0" fontId="0" fillId="0" borderId="17" xfId="58" applyBorder="1" applyAlignment="1">
      <alignment wrapText="1"/>
      <protection/>
    </xf>
    <xf numFmtId="0" fontId="0" fillId="0" borderId="16" xfId="58" applyBorder="1" applyAlignment="1">
      <alignment wrapText="1"/>
      <protection/>
    </xf>
    <xf numFmtId="0" fontId="2" fillId="0" borderId="10" xfId="58" applyFont="1" applyBorder="1">
      <alignment/>
      <protection/>
    </xf>
    <xf numFmtId="0" fontId="25" fillId="0" borderId="0" xfId="58" applyFont="1" applyAlignment="1">
      <alignment horizontal="left" wrapText="1"/>
      <protection/>
    </xf>
    <xf numFmtId="0" fontId="2" fillId="0" borderId="38" xfId="58" applyFont="1" applyBorder="1" applyAlignment="1">
      <alignment/>
      <protection/>
    </xf>
    <xf numFmtId="0" fontId="25" fillId="0" borderId="0" xfId="58" applyFont="1" applyFill="1" applyAlignment="1">
      <alignment/>
      <protection/>
    </xf>
    <xf numFmtId="0" fontId="30" fillId="0" borderId="0" xfId="58" applyFont="1" applyFill="1" applyAlignment="1">
      <alignment/>
      <protection/>
    </xf>
    <xf numFmtId="0" fontId="0" fillId="40" borderId="19" xfId="58" applyFill="1" applyBorder="1" applyAlignment="1">
      <alignment wrapText="1"/>
      <protection/>
    </xf>
    <xf numFmtId="0" fontId="0" fillId="40" borderId="68" xfId="58" applyFill="1" applyBorder="1" applyAlignment="1">
      <alignment wrapText="1"/>
      <protection/>
    </xf>
    <xf numFmtId="0" fontId="0" fillId="40" borderId="18" xfId="58" applyFill="1" applyBorder="1" applyAlignment="1">
      <alignment wrapText="1"/>
      <protection/>
    </xf>
    <xf numFmtId="0" fontId="0" fillId="40" borderId="67" xfId="58" applyFill="1" applyBorder="1" applyAlignment="1">
      <alignment wrapText="1"/>
      <protection/>
    </xf>
    <xf numFmtId="0" fontId="0" fillId="40" borderId="19" xfId="58" applyFill="1" applyBorder="1" applyAlignment="1">
      <alignment horizontal="center"/>
      <protection/>
    </xf>
    <xf numFmtId="0" fontId="0" fillId="40" borderId="17" xfId="58" applyFill="1" applyBorder="1" applyAlignment="1">
      <alignment wrapText="1"/>
      <protection/>
    </xf>
    <xf numFmtId="0" fontId="0" fillId="40" borderId="71" xfId="58" applyFill="1" applyBorder="1" applyAlignment="1">
      <alignment wrapText="1"/>
      <protection/>
    </xf>
    <xf numFmtId="0" fontId="0" fillId="40" borderId="10" xfId="58" applyFill="1" applyBorder="1" applyAlignment="1">
      <alignment wrapText="1"/>
      <protection/>
    </xf>
    <xf numFmtId="0" fontId="0" fillId="40" borderId="70" xfId="58" applyFill="1" applyBorder="1" applyAlignment="1">
      <alignment wrapText="1"/>
      <protection/>
    </xf>
    <xf numFmtId="0" fontId="0" fillId="40" borderId="17" xfId="58" applyFill="1" applyBorder="1" applyAlignment="1">
      <alignment horizontal="center"/>
      <protection/>
    </xf>
    <xf numFmtId="0" fontId="0" fillId="40" borderId="17" xfId="58" applyFont="1" applyFill="1" applyBorder="1" applyAlignment="1">
      <alignment wrapText="1"/>
      <protection/>
    </xf>
    <xf numFmtId="0" fontId="0" fillId="40" borderId="28" xfId="58" applyFill="1" applyBorder="1" applyAlignment="1">
      <alignment wrapText="1"/>
      <protection/>
    </xf>
    <xf numFmtId="0" fontId="0" fillId="40" borderId="75" xfId="58" applyFill="1" applyBorder="1" applyAlignment="1">
      <alignment wrapText="1"/>
      <protection/>
    </xf>
    <xf numFmtId="0" fontId="0" fillId="40" borderId="74" xfId="58" applyFill="1" applyBorder="1" applyAlignment="1">
      <alignment wrapText="1"/>
      <protection/>
    </xf>
    <xf numFmtId="0" fontId="0" fillId="40" borderId="28" xfId="58" applyFill="1" applyBorder="1" applyAlignment="1">
      <alignment horizontal="center"/>
      <protection/>
    </xf>
    <xf numFmtId="0" fontId="2" fillId="0" borderId="48" xfId="58" applyFont="1" applyBorder="1" applyAlignment="1">
      <alignment horizontal="center" wrapText="1"/>
      <protection/>
    </xf>
    <xf numFmtId="0" fontId="2" fillId="0" borderId="84" xfId="58" applyFont="1" applyBorder="1" applyAlignment="1">
      <alignment horizontal="center" wrapText="1"/>
      <protection/>
    </xf>
    <xf numFmtId="0" fontId="2" fillId="0" borderId="78" xfId="58" applyFont="1" applyBorder="1" applyAlignment="1">
      <alignment horizontal="center" wrapText="1"/>
      <protection/>
    </xf>
    <xf numFmtId="0" fontId="2" fillId="0" borderId="21" xfId="58" applyFont="1" applyBorder="1" applyAlignment="1">
      <alignment horizontal="center" wrapText="1"/>
      <protection/>
    </xf>
    <xf numFmtId="0" fontId="0" fillId="0" borderId="0" xfId="58" applyFill="1" applyAlignment="1">
      <alignment horizontal="center"/>
      <protection/>
    </xf>
    <xf numFmtId="3" fontId="0" fillId="35" borderId="49" xfId="58" applyNumberFormat="1" applyFill="1" applyBorder="1" applyAlignment="1">
      <alignment horizontal="center"/>
      <protection/>
    </xf>
    <xf numFmtId="166" fontId="0" fillId="0" borderId="39" xfId="58" applyNumberFormat="1" applyBorder="1" applyAlignment="1">
      <alignment wrapText="1"/>
      <protection/>
    </xf>
    <xf numFmtId="166" fontId="0" fillId="0" borderId="38" xfId="58" applyNumberFormat="1" applyBorder="1" applyAlignment="1">
      <alignment wrapText="1"/>
      <protection/>
    </xf>
    <xf numFmtId="3" fontId="0" fillId="0" borderId="38" xfId="58" applyNumberFormat="1" applyFont="1" applyBorder="1" applyAlignment="1">
      <alignment wrapText="1"/>
      <protection/>
    </xf>
    <xf numFmtId="0" fontId="2" fillId="0" borderId="38" xfId="58" applyFont="1" applyBorder="1" applyAlignment="1">
      <alignment horizontal="right"/>
      <protection/>
    </xf>
    <xf numFmtId="0" fontId="0" fillId="0" borderId="37" xfId="58" applyBorder="1" applyAlignment="1">
      <alignment wrapText="1"/>
      <protection/>
    </xf>
    <xf numFmtId="166" fontId="0" fillId="0" borderId="36" xfId="58" applyNumberFormat="1" applyBorder="1" applyAlignment="1">
      <alignment wrapText="1"/>
      <protection/>
    </xf>
    <xf numFmtId="166" fontId="0" fillId="0" borderId="0" xfId="58" applyNumberFormat="1" applyBorder="1" applyAlignment="1">
      <alignment wrapText="1"/>
      <protection/>
    </xf>
    <xf numFmtId="3" fontId="0" fillId="0" borderId="0" xfId="58" applyNumberFormat="1" applyFont="1" applyBorder="1" applyAlignment="1">
      <alignment wrapText="1"/>
      <protection/>
    </xf>
    <xf numFmtId="0" fontId="2" fillId="0" borderId="0" xfId="58" applyFont="1" applyBorder="1" applyAlignment="1">
      <alignment horizontal="right"/>
      <protection/>
    </xf>
    <xf numFmtId="0" fontId="0" fillId="0" borderId="0" xfId="58" applyAlignment="1">
      <alignment horizontal="center" wrapText="1"/>
      <protection/>
    </xf>
    <xf numFmtId="164" fontId="0" fillId="0" borderId="0" xfId="58" applyNumberFormat="1" applyFont="1" applyFill="1" applyBorder="1" applyAlignment="1">
      <alignment wrapText="1"/>
      <protection/>
    </xf>
    <xf numFmtId="166" fontId="2" fillId="38" borderId="13" xfId="58" applyNumberFormat="1" applyFont="1" applyFill="1" applyBorder="1" applyAlignment="1">
      <alignment wrapText="1"/>
      <protection/>
    </xf>
    <xf numFmtId="166" fontId="2" fillId="38" borderId="12" xfId="58" applyNumberFormat="1" applyFont="1" applyFill="1" applyBorder="1" applyAlignment="1">
      <alignment wrapText="1"/>
      <protection/>
    </xf>
    <xf numFmtId="166" fontId="2" fillId="38" borderId="12" xfId="58" applyNumberFormat="1" applyFont="1" applyFill="1" applyBorder="1" applyAlignment="1">
      <alignment horizontal="center" wrapText="1"/>
      <protection/>
    </xf>
    <xf numFmtId="0" fontId="2" fillId="38" borderId="12" xfId="58" applyFont="1" applyFill="1" applyBorder="1" applyAlignment="1">
      <alignment horizontal="center" wrapText="1"/>
      <protection/>
    </xf>
    <xf numFmtId="0" fontId="0" fillId="0" borderId="12" xfId="58" applyBorder="1" applyAlignment="1">
      <alignment wrapText="1"/>
      <protection/>
    </xf>
    <xf numFmtId="0" fontId="0" fillId="0" borderId="0" xfId="58" applyBorder="1" applyAlignment="1">
      <alignment horizontal="center" wrapText="1"/>
      <protection/>
    </xf>
    <xf numFmtId="0" fontId="0" fillId="0" borderId="0" xfId="58" applyFill="1" applyBorder="1" applyAlignment="1">
      <alignment horizontal="center" wrapText="1"/>
      <protection/>
    </xf>
    <xf numFmtId="166" fontId="0" fillId="0" borderId="0" xfId="58" applyNumberFormat="1" applyFill="1" applyBorder="1" applyAlignment="1">
      <alignment wrapText="1"/>
      <protection/>
    </xf>
    <xf numFmtId="164" fontId="0" fillId="0" borderId="19" xfId="58" applyNumberFormat="1" applyBorder="1" applyAlignment="1">
      <alignment wrapText="1"/>
      <protection/>
    </xf>
    <xf numFmtId="164" fontId="0" fillId="0" borderId="24" xfId="58" applyNumberFormat="1" applyBorder="1" applyAlignment="1">
      <alignment wrapText="1"/>
      <protection/>
    </xf>
    <xf numFmtId="164" fontId="0" fillId="0" borderId="18" xfId="58" applyNumberFormat="1" applyBorder="1" applyAlignment="1">
      <alignment wrapText="1"/>
      <protection/>
    </xf>
    <xf numFmtId="166" fontId="0" fillId="0" borderId="24" xfId="58" applyNumberFormat="1" applyBorder="1" applyAlignment="1">
      <alignment wrapText="1"/>
      <protection/>
    </xf>
    <xf numFmtId="166" fontId="0" fillId="0" borderId="45" xfId="58" applyNumberFormat="1" applyBorder="1" applyAlignment="1">
      <alignment wrapText="1"/>
      <protection/>
    </xf>
    <xf numFmtId="166" fontId="0" fillId="0" borderId="26" xfId="58" applyNumberFormat="1" applyBorder="1" applyAlignment="1">
      <alignment wrapText="1"/>
      <protection/>
    </xf>
    <xf numFmtId="166" fontId="0" fillId="0" borderId="44" xfId="58" applyNumberFormat="1" applyBorder="1" applyAlignment="1">
      <alignment wrapText="1"/>
      <protection/>
    </xf>
    <xf numFmtId="0" fontId="0" fillId="0" borderId="45" xfId="58" applyBorder="1" applyAlignment="1">
      <alignment wrapText="1"/>
      <protection/>
    </xf>
    <xf numFmtId="0" fontId="0" fillId="0" borderId="67" xfId="58" applyBorder="1" applyAlignment="1">
      <alignment wrapText="1"/>
      <protection/>
    </xf>
    <xf numFmtId="0" fontId="0" fillId="0" borderId="24" xfId="58" applyBorder="1" applyAlignment="1">
      <alignment wrapText="1"/>
      <protection/>
    </xf>
    <xf numFmtId="0" fontId="0" fillId="0" borderId="68" xfId="58" applyBorder="1" applyAlignment="1">
      <alignment wrapText="1"/>
      <protection/>
    </xf>
    <xf numFmtId="0" fontId="0" fillId="0" borderId="19" xfId="58" applyBorder="1" applyAlignment="1">
      <alignment wrapText="1"/>
      <protection/>
    </xf>
    <xf numFmtId="0" fontId="0" fillId="0" borderId="40" xfId="58" applyBorder="1" applyAlignment="1">
      <alignment horizontal="center" wrapText="1"/>
      <protection/>
    </xf>
    <xf numFmtId="0" fontId="0" fillId="0" borderId="31" xfId="58" applyBorder="1" applyAlignment="1">
      <alignment wrapText="1"/>
      <protection/>
    </xf>
    <xf numFmtId="164" fontId="0" fillId="0" borderId="17" xfId="58" applyNumberFormat="1" applyBorder="1" applyAlignment="1">
      <alignment wrapText="1"/>
      <protection/>
    </xf>
    <xf numFmtId="164" fontId="0" fillId="0" borderId="16" xfId="58" applyNumberFormat="1" applyBorder="1" applyAlignment="1">
      <alignment wrapText="1"/>
      <protection/>
    </xf>
    <xf numFmtId="164" fontId="0" fillId="0" borderId="10" xfId="58" applyNumberFormat="1" applyBorder="1" applyAlignment="1">
      <alignment wrapText="1"/>
      <protection/>
    </xf>
    <xf numFmtId="166" fontId="0" fillId="0" borderId="16" xfId="58" applyNumberFormat="1" applyBorder="1" applyAlignment="1">
      <alignment wrapText="1"/>
      <protection/>
    </xf>
    <xf numFmtId="166" fontId="0" fillId="0" borderId="17" xfId="58" applyNumberFormat="1" applyBorder="1" applyAlignment="1">
      <alignment wrapText="1"/>
      <protection/>
    </xf>
    <xf numFmtId="0" fontId="0" fillId="0" borderId="70" xfId="58" applyBorder="1" applyAlignment="1">
      <alignment wrapText="1"/>
      <protection/>
    </xf>
    <xf numFmtId="0" fontId="0" fillId="0" borderId="71" xfId="58" applyBorder="1" applyAlignment="1">
      <alignment wrapText="1"/>
      <protection/>
    </xf>
    <xf numFmtId="164" fontId="0" fillId="0" borderId="28" xfId="58" applyNumberFormat="1" applyBorder="1" applyAlignment="1">
      <alignment wrapText="1"/>
      <protection/>
    </xf>
    <xf numFmtId="164" fontId="0" fillId="0" borderId="27" xfId="58" applyNumberFormat="1" applyBorder="1" applyAlignment="1">
      <alignment wrapText="1"/>
      <protection/>
    </xf>
    <xf numFmtId="164" fontId="0" fillId="0" borderId="26" xfId="58" applyNumberFormat="1" applyBorder="1" applyAlignment="1">
      <alignment wrapText="1"/>
      <protection/>
    </xf>
    <xf numFmtId="166" fontId="0" fillId="0" borderId="74" xfId="58" applyNumberFormat="1" applyBorder="1" applyAlignment="1">
      <alignment wrapText="1"/>
      <protection/>
    </xf>
    <xf numFmtId="166" fontId="0" fillId="0" borderId="27" xfId="58" applyNumberFormat="1" applyBorder="1" applyAlignment="1">
      <alignment wrapText="1"/>
      <protection/>
    </xf>
    <xf numFmtId="166" fontId="0" fillId="0" borderId="28" xfId="58" applyNumberFormat="1" applyBorder="1" applyAlignment="1">
      <alignment wrapText="1"/>
      <protection/>
    </xf>
    <xf numFmtId="0" fontId="0" fillId="0" borderId="27" xfId="58" applyBorder="1" applyAlignment="1">
      <alignment wrapText="1"/>
      <protection/>
    </xf>
    <xf numFmtId="0" fontId="0" fillId="0" borderId="40" xfId="58" applyBorder="1" applyAlignment="1">
      <alignment wrapText="1"/>
      <protection/>
    </xf>
    <xf numFmtId="0" fontId="0" fillId="0" borderId="82" xfId="58" applyBorder="1" applyAlignment="1">
      <alignment wrapText="1"/>
      <protection/>
    </xf>
    <xf numFmtId="0" fontId="0" fillId="0" borderId="32" xfId="58" applyBorder="1" applyAlignment="1">
      <alignment wrapText="1"/>
      <protection/>
    </xf>
    <xf numFmtId="164" fontId="2" fillId="0" borderId="46" xfId="58" applyNumberFormat="1" applyFont="1" applyBorder="1" applyAlignment="1">
      <alignment horizontal="center" wrapText="1"/>
      <protection/>
    </xf>
    <xf numFmtId="164" fontId="2" fillId="0" borderId="47" xfId="58" applyNumberFormat="1" applyFont="1" applyBorder="1" applyAlignment="1">
      <alignment horizontal="center" wrapText="1"/>
      <protection/>
    </xf>
    <xf numFmtId="164" fontId="2" fillId="0" borderId="52" xfId="58" applyNumberFormat="1" applyFont="1" applyBorder="1" applyAlignment="1">
      <alignment horizontal="center" wrapText="1"/>
      <protection/>
    </xf>
    <xf numFmtId="164" fontId="2" fillId="0" borderId="12" xfId="58" applyNumberFormat="1" applyFont="1" applyBorder="1" applyAlignment="1">
      <alignment horizontal="center" wrapText="1"/>
      <protection/>
    </xf>
    <xf numFmtId="166" fontId="2" fillId="0" borderId="46" xfId="58" applyNumberFormat="1" applyFont="1" applyBorder="1" applyAlignment="1">
      <alignment horizontal="center" wrapText="1"/>
      <protection/>
    </xf>
    <xf numFmtId="166" fontId="2" fillId="0" borderId="47" xfId="58" applyNumberFormat="1" applyFont="1" applyBorder="1" applyAlignment="1">
      <alignment horizontal="center" wrapText="1"/>
      <protection/>
    </xf>
    <xf numFmtId="166" fontId="2" fillId="0" borderId="52" xfId="58" applyNumberFormat="1" applyFont="1" applyBorder="1" applyAlignment="1">
      <alignment horizontal="center" wrapText="1"/>
      <protection/>
    </xf>
    <xf numFmtId="0" fontId="2" fillId="0" borderId="12" xfId="58" applyFont="1" applyBorder="1" applyAlignment="1">
      <alignment horizontal="center" wrapText="1"/>
      <protection/>
    </xf>
    <xf numFmtId="166" fontId="2" fillId="0" borderId="25" xfId="58" applyNumberFormat="1" applyFont="1" applyBorder="1" applyAlignment="1">
      <alignment horizontal="center" wrapText="1"/>
      <protection/>
    </xf>
    <xf numFmtId="166" fontId="2" fillId="0" borderId="15" xfId="58" applyNumberFormat="1" applyFont="1" applyBorder="1" applyAlignment="1">
      <alignment horizontal="center" wrapText="1"/>
      <protection/>
    </xf>
    <xf numFmtId="0" fontId="2" fillId="0" borderId="14" xfId="58" applyFont="1" applyBorder="1" applyAlignment="1">
      <alignment horizontal="center" wrapText="1"/>
      <protection/>
    </xf>
    <xf numFmtId="0" fontId="2" fillId="0" borderId="25" xfId="58" applyFont="1" applyBorder="1" applyAlignment="1">
      <alignment horizontal="center" wrapText="1"/>
      <protection/>
    </xf>
    <xf numFmtId="0" fontId="2" fillId="0" borderId="15" xfId="58" applyFont="1" applyBorder="1" applyAlignment="1">
      <alignment horizontal="center" wrapText="1"/>
      <protection/>
    </xf>
    <xf numFmtId="0" fontId="2" fillId="0" borderId="77" xfId="58" applyFont="1" applyBorder="1" applyAlignment="1">
      <alignment horizontal="center" wrapText="1"/>
      <protection/>
    </xf>
    <xf numFmtId="0" fontId="2" fillId="0" borderId="60" xfId="58" applyFont="1" applyBorder="1" applyAlignment="1">
      <alignment horizontal="center" wrapText="1"/>
      <protection/>
    </xf>
    <xf numFmtId="0" fontId="2" fillId="0" borderId="67" xfId="58" applyFont="1" applyBorder="1" applyAlignment="1">
      <alignment horizontal="center" wrapText="1"/>
      <protection/>
    </xf>
    <xf numFmtId="0" fontId="2" fillId="0" borderId="18" xfId="58" applyFont="1" applyBorder="1" applyAlignment="1">
      <alignment horizontal="center" wrapText="1"/>
      <protection/>
    </xf>
    <xf numFmtId="0" fontId="2" fillId="0" borderId="74" xfId="58" applyFont="1" applyBorder="1" applyAlignment="1">
      <alignment horizontal="center" wrapText="1"/>
      <protection/>
    </xf>
    <xf numFmtId="164" fontId="0" fillId="0" borderId="0" xfId="58" applyNumberFormat="1" applyAlignment="1">
      <alignment/>
      <protection/>
    </xf>
    <xf numFmtId="166" fontId="0" fillId="0" borderId="0" xfId="58" applyNumberFormat="1" applyAlignment="1">
      <alignment/>
      <protection/>
    </xf>
    <xf numFmtId="3" fontId="0" fillId="0" borderId="0" xfId="58" applyNumberFormat="1" applyFill="1" applyAlignment="1">
      <alignment wrapText="1"/>
      <protection/>
    </xf>
    <xf numFmtId="3" fontId="0" fillId="0" borderId="0" xfId="58" applyNumberFormat="1" applyFill="1" applyAlignment="1">
      <alignment horizontal="center" wrapText="1"/>
      <protection/>
    </xf>
    <xf numFmtId="3" fontId="0" fillId="0" borderId="0" xfId="58" applyNumberFormat="1" applyFont="1" applyFill="1" applyBorder="1" applyAlignment="1">
      <alignment wrapText="1"/>
      <protection/>
    </xf>
    <xf numFmtId="0" fontId="2" fillId="0" borderId="0" xfId="58" applyFont="1" applyFill="1" applyAlignment="1">
      <alignment/>
      <protection/>
    </xf>
    <xf numFmtId="0" fontId="0" fillId="0" borderId="0" xfId="58" applyFont="1" applyBorder="1" applyAlignment="1">
      <alignment horizontal="right"/>
      <protection/>
    </xf>
    <xf numFmtId="164" fontId="0" fillId="38" borderId="19" xfId="58" applyNumberFormat="1" applyFont="1" applyFill="1" applyBorder="1" applyAlignment="1">
      <alignment wrapText="1"/>
      <protection/>
    </xf>
    <xf numFmtId="164" fontId="0" fillId="38" borderId="24" xfId="58" applyNumberFormat="1" applyFont="1" applyFill="1" applyBorder="1" applyAlignment="1">
      <alignment wrapText="1"/>
      <protection/>
    </xf>
    <xf numFmtId="3" fontId="0" fillId="38" borderId="24" xfId="58" applyNumberFormat="1" applyFont="1" applyFill="1" applyBorder="1" applyAlignment="1">
      <alignment wrapText="1"/>
      <protection/>
    </xf>
    <xf numFmtId="0" fontId="0" fillId="0" borderId="18" xfId="58" applyFont="1" applyBorder="1" applyAlignment="1">
      <alignment horizontal="right"/>
      <protection/>
    </xf>
    <xf numFmtId="164" fontId="0" fillId="38" borderId="17" xfId="58" applyNumberFormat="1" applyFont="1" applyFill="1" applyBorder="1" applyAlignment="1">
      <alignment wrapText="1"/>
      <protection/>
    </xf>
    <xf numFmtId="164" fontId="0" fillId="38" borderId="16" xfId="58" applyNumberFormat="1" applyFont="1" applyFill="1" applyBorder="1" applyAlignment="1">
      <alignment wrapText="1"/>
      <protection/>
    </xf>
    <xf numFmtId="3" fontId="0" fillId="38" borderId="16" xfId="58" applyNumberFormat="1" applyFont="1" applyFill="1" applyBorder="1" applyAlignment="1">
      <alignment wrapText="1"/>
      <protection/>
    </xf>
    <xf numFmtId="0" fontId="0" fillId="0" borderId="10" xfId="58" applyFont="1" applyBorder="1" applyAlignment="1">
      <alignment horizontal="right"/>
      <protection/>
    </xf>
    <xf numFmtId="3" fontId="2" fillId="38" borderId="28" xfId="58" applyNumberFormat="1" applyFont="1" applyFill="1" applyBorder="1" applyAlignment="1">
      <alignment wrapText="1"/>
      <protection/>
    </xf>
    <xf numFmtId="3" fontId="2" fillId="38" borderId="27" xfId="58" applyNumberFormat="1" applyFont="1" applyFill="1" applyBorder="1" applyAlignment="1">
      <alignment wrapText="1"/>
      <protection/>
    </xf>
    <xf numFmtId="3" fontId="2" fillId="38" borderId="27" xfId="58" applyNumberFormat="1" applyFont="1" applyFill="1" applyBorder="1" applyAlignment="1">
      <alignment horizontal="center" wrapText="1"/>
      <protection/>
    </xf>
    <xf numFmtId="0" fontId="0" fillId="0" borderId="0" xfId="58" applyFont="1" applyFill="1" applyBorder="1" applyAlignment="1">
      <alignment horizontal="right"/>
      <protection/>
    </xf>
    <xf numFmtId="164" fontId="0" fillId="39" borderId="19" xfId="58" applyNumberFormat="1" applyFont="1" applyFill="1" applyBorder="1" applyAlignment="1">
      <alignment wrapText="1"/>
      <protection/>
    </xf>
    <xf numFmtId="164" fontId="0" fillId="39" borderId="24" xfId="58" applyNumberFormat="1" applyFont="1" applyFill="1" applyBorder="1" applyAlignment="1">
      <alignment wrapText="1"/>
      <protection/>
    </xf>
    <xf numFmtId="3" fontId="0" fillId="39" borderId="24" xfId="58" applyNumberFormat="1" applyFont="1" applyFill="1" applyBorder="1" applyAlignment="1">
      <alignment wrapText="1"/>
      <protection/>
    </xf>
    <xf numFmtId="3" fontId="0" fillId="0" borderId="0" xfId="58" applyNumberFormat="1" applyAlignment="1">
      <alignment wrapText="1"/>
      <protection/>
    </xf>
    <xf numFmtId="164" fontId="0" fillId="39" borderId="17" xfId="58" applyNumberFormat="1" applyFont="1" applyFill="1" applyBorder="1" applyAlignment="1">
      <alignment wrapText="1"/>
      <protection/>
    </xf>
    <xf numFmtId="164" fontId="0" fillId="39" borderId="16" xfId="58" applyNumberFormat="1" applyFont="1" applyFill="1" applyBorder="1" applyAlignment="1">
      <alignment wrapText="1"/>
      <protection/>
    </xf>
    <xf numFmtId="3" fontId="0" fillId="39" borderId="16" xfId="58" applyNumberFormat="1" applyFont="1" applyFill="1" applyBorder="1" applyAlignment="1">
      <alignment wrapText="1"/>
      <protection/>
    </xf>
    <xf numFmtId="166" fontId="2" fillId="39" borderId="27" xfId="58" applyNumberFormat="1" applyFont="1" applyFill="1" applyBorder="1" applyAlignment="1">
      <alignment horizontal="center" wrapText="1"/>
      <protection/>
    </xf>
    <xf numFmtId="0" fontId="2" fillId="39" borderId="27" xfId="58" applyFont="1" applyFill="1" applyBorder="1" applyAlignment="1">
      <alignment horizontal="center" wrapText="1"/>
      <protection/>
    </xf>
    <xf numFmtId="166" fontId="2" fillId="39" borderId="28" xfId="58" applyNumberFormat="1" applyFont="1" applyFill="1" applyBorder="1" applyAlignment="1">
      <alignment wrapText="1"/>
      <protection/>
    </xf>
    <xf numFmtId="166" fontId="2" fillId="39" borderId="27" xfId="58" applyNumberFormat="1" applyFont="1" applyFill="1" applyBorder="1" applyAlignment="1">
      <alignment wrapText="1"/>
      <protection/>
    </xf>
    <xf numFmtId="166" fontId="2" fillId="39" borderId="12" xfId="58" applyNumberFormat="1" applyFont="1" applyFill="1" applyBorder="1" applyAlignment="1">
      <alignment horizontal="center" wrapText="1"/>
      <protection/>
    </xf>
    <xf numFmtId="164" fontId="2" fillId="0" borderId="0" xfId="58" applyNumberFormat="1" applyFont="1" applyBorder="1" applyAlignment="1">
      <alignment horizontal="center" wrapText="1"/>
      <protection/>
    </xf>
    <xf numFmtId="0" fontId="2" fillId="39" borderId="20" xfId="58" applyFont="1" applyFill="1" applyBorder="1" applyAlignment="1">
      <alignment horizontal="center" wrapText="1"/>
      <protection/>
    </xf>
    <xf numFmtId="165" fontId="0" fillId="38" borderId="19" xfId="58" applyNumberFormat="1" applyFill="1" applyBorder="1" applyAlignment="1">
      <alignment wrapText="1"/>
      <protection/>
    </xf>
    <xf numFmtId="166" fontId="0" fillId="38" borderId="24" xfId="58" applyNumberFormat="1" applyFill="1" applyBorder="1" applyAlignment="1">
      <alignment wrapText="1"/>
      <protection/>
    </xf>
    <xf numFmtId="166" fontId="0" fillId="38" borderId="18" xfId="58" applyNumberFormat="1" applyFill="1" applyBorder="1" applyAlignment="1">
      <alignment wrapText="1"/>
      <protection/>
    </xf>
    <xf numFmtId="166" fontId="0" fillId="39" borderId="67" xfId="58" applyNumberFormat="1" applyFill="1" applyBorder="1" applyAlignment="1">
      <alignment wrapText="1"/>
      <protection/>
    </xf>
    <xf numFmtId="166" fontId="0" fillId="39" borderId="24" xfId="58" applyNumberFormat="1" applyFill="1" applyBorder="1" applyAlignment="1">
      <alignment wrapText="1"/>
      <protection/>
    </xf>
    <xf numFmtId="166" fontId="0" fillId="39" borderId="71" xfId="58" applyNumberFormat="1" applyFill="1" applyBorder="1" applyAlignment="1">
      <alignment wrapText="1"/>
      <protection/>
    </xf>
    <xf numFmtId="0" fontId="0" fillId="0" borderId="19" xfId="58" applyBorder="1" applyAlignment="1">
      <alignment horizontal="center" wrapText="1"/>
      <protection/>
    </xf>
    <xf numFmtId="0" fontId="0" fillId="0" borderId="18" xfId="58" applyBorder="1" applyAlignment="1">
      <alignment horizontal="center" wrapText="1"/>
      <protection/>
    </xf>
    <xf numFmtId="165" fontId="0" fillId="38" borderId="17" xfId="58" applyNumberFormat="1" applyFill="1" applyBorder="1" applyAlignment="1">
      <alignment wrapText="1"/>
      <protection/>
    </xf>
    <xf numFmtId="166" fontId="0" fillId="38" borderId="16" xfId="58" applyNumberFormat="1" applyFill="1" applyBorder="1" applyAlignment="1">
      <alignment wrapText="1"/>
      <protection/>
    </xf>
    <xf numFmtId="166" fontId="0" fillId="38" borderId="10" xfId="58" applyNumberFormat="1" applyFill="1" applyBorder="1" applyAlignment="1">
      <alignment wrapText="1"/>
      <protection/>
    </xf>
    <xf numFmtId="166" fontId="0" fillId="39" borderId="70" xfId="58" applyNumberFormat="1" applyFill="1" applyBorder="1" applyAlignment="1">
      <alignment wrapText="1"/>
      <protection/>
    </xf>
    <xf numFmtId="166" fontId="0" fillId="39" borderId="16" xfId="58" applyNumberFormat="1" applyFill="1" applyBorder="1" applyAlignment="1">
      <alignment wrapText="1"/>
      <protection/>
    </xf>
    <xf numFmtId="0" fontId="0" fillId="0" borderId="17" xfId="58" applyBorder="1" applyAlignment="1">
      <alignment horizontal="center" wrapText="1"/>
      <protection/>
    </xf>
    <xf numFmtId="0" fontId="0" fillId="0" borderId="10" xfId="58" applyBorder="1" applyAlignment="1">
      <alignment horizontal="center" wrapText="1"/>
      <protection/>
    </xf>
    <xf numFmtId="165" fontId="0" fillId="38" borderId="32" xfId="58" applyNumberFormat="1" applyFill="1" applyBorder="1" applyAlignment="1">
      <alignment wrapText="1"/>
      <protection/>
    </xf>
    <xf numFmtId="166" fontId="0" fillId="38" borderId="31" xfId="58" applyNumberFormat="1" applyFill="1" applyBorder="1" applyAlignment="1">
      <alignment wrapText="1"/>
      <protection/>
    </xf>
    <xf numFmtId="166" fontId="0" fillId="38" borderId="23" xfId="58" applyNumberFormat="1" applyFill="1" applyBorder="1" applyAlignment="1">
      <alignment wrapText="1"/>
      <protection/>
    </xf>
    <xf numFmtId="166" fontId="0" fillId="39" borderId="74" xfId="58" applyNumberFormat="1" applyFill="1" applyBorder="1" applyAlignment="1">
      <alignment wrapText="1"/>
      <protection/>
    </xf>
    <xf numFmtId="166" fontId="0" fillId="39" borderId="27" xfId="58" applyNumberFormat="1" applyFill="1" applyBorder="1" applyAlignment="1">
      <alignment wrapText="1"/>
      <protection/>
    </xf>
    <xf numFmtId="166" fontId="0" fillId="39" borderId="75" xfId="58" applyNumberFormat="1" applyFill="1" applyBorder="1" applyAlignment="1">
      <alignment wrapText="1"/>
      <protection/>
    </xf>
    <xf numFmtId="0" fontId="0" fillId="0" borderId="28" xfId="58" applyBorder="1" applyAlignment="1">
      <alignment horizontal="center" wrapText="1"/>
      <protection/>
    </xf>
    <xf numFmtId="0" fontId="0" fillId="0" borderId="26" xfId="58" applyBorder="1" applyAlignment="1">
      <alignment horizontal="center" wrapText="1"/>
      <protection/>
    </xf>
    <xf numFmtId="0" fontId="2" fillId="38" borderId="25" xfId="58" applyFont="1" applyFill="1" applyBorder="1" applyAlignment="1">
      <alignment horizontal="center" wrapText="1"/>
      <protection/>
    </xf>
    <xf numFmtId="164" fontId="2" fillId="38" borderId="15" xfId="58" applyNumberFormat="1" applyFont="1" applyFill="1" applyBorder="1" applyAlignment="1">
      <alignment horizontal="center" wrapText="1"/>
      <protection/>
    </xf>
    <xf numFmtId="164" fontId="2" fillId="38" borderId="14" xfId="58" applyNumberFormat="1" applyFont="1" applyFill="1" applyBorder="1" applyAlignment="1">
      <alignment horizontal="center" wrapText="1"/>
      <protection/>
    </xf>
    <xf numFmtId="166" fontId="2" fillId="39" borderId="77" xfId="58" applyNumberFormat="1" applyFont="1" applyFill="1" applyBorder="1" applyAlignment="1">
      <alignment horizontal="center" wrapText="1"/>
      <protection/>
    </xf>
    <xf numFmtId="166" fontId="2" fillId="39" borderId="15" xfId="58" applyNumberFormat="1" applyFont="1" applyFill="1" applyBorder="1" applyAlignment="1">
      <alignment horizontal="center" wrapText="1"/>
      <protection/>
    </xf>
    <xf numFmtId="166" fontId="2" fillId="39" borderId="29" xfId="58" applyNumberFormat="1" applyFont="1" applyFill="1" applyBorder="1" applyAlignment="1">
      <alignment horizontal="center" wrapText="1"/>
      <protection/>
    </xf>
    <xf numFmtId="0" fontId="2" fillId="0" borderId="85" xfId="58" applyFont="1" applyBorder="1" applyAlignment="1">
      <alignment horizontal="center" wrapText="1"/>
      <protection/>
    </xf>
    <xf numFmtId="0" fontId="2" fillId="0" borderId="56" xfId="58" applyFont="1" applyBorder="1" applyAlignment="1">
      <alignment horizontal="center" wrapText="1"/>
      <protection/>
    </xf>
    <xf numFmtId="0" fontId="2" fillId="0" borderId="38" xfId="58" applyFont="1" applyBorder="1" applyAlignment="1">
      <alignment horizontal="center" wrapText="1"/>
      <protection/>
    </xf>
    <xf numFmtId="0" fontId="0" fillId="0" borderId="0" xfId="58" applyFill="1" applyAlignment="1">
      <alignment/>
      <protection/>
    </xf>
    <xf numFmtId="164" fontId="0" fillId="0" borderId="0" xfId="58" applyNumberFormat="1" applyFill="1" applyAlignment="1">
      <alignment/>
      <protection/>
    </xf>
    <xf numFmtId="166" fontId="0" fillId="0" borderId="0" xfId="58" applyNumberFormat="1" applyFill="1" applyAlignment="1">
      <alignment/>
      <protection/>
    </xf>
    <xf numFmtId="166" fontId="0" fillId="0" borderId="29" xfId="58" applyNumberFormat="1" applyBorder="1">
      <alignment/>
      <protection/>
    </xf>
    <xf numFmtId="180" fontId="0" fillId="38" borderId="29" xfId="58" applyNumberFormat="1" applyFill="1" applyBorder="1">
      <alignment/>
      <protection/>
    </xf>
    <xf numFmtId="166" fontId="0" fillId="38" borderId="86" xfId="58" applyNumberFormat="1" applyFill="1" applyBorder="1">
      <alignment/>
      <protection/>
    </xf>
    <xf numFmtId="166" fontId="0" fillId="38" borderId="87" xfId="58" applyNumberFormat="1" applyFill="1" applyBorder="1">
      <alignment/>
      <protection/>
    </xf>
    <xf numFmtId="166" fontId="0" fillId="38" borderId="55" xfId="58" applyNumberFormat="1" applyFill="1" applyBorder="1">
      <alignment/>
      <protection/>
    </xf>
    <xf numFmtId="166" fontId="0" fillId="36" borderId="67" xfId="58" applyNumberFormat="1" applyFill="1" applyBorder="1">
      <alignment/>
      <protection/>
    </xf>
    <xf numFmtId="166" fontId="0" fillId="0" borderId="24" xfId="58" applyNumberFormat="1" applyBorder="1">
      <alignment/>
      <protection/>
    </xf>
    <xf numFmtId="166" fontId="0" fillId="0" borderId="18" xfId="58" applyNumberFormat="1" applyBorder="1">
      <alignment/>
      <protection/>
    </xf>
    <xf numFmtId="166" fontId="0" fillId="0" borderId="70" xfId="58" applyNumberFormat="1" applyBorder="1">
      <alignment/>
      <protection/>
    </xf>
    <xf numFmtId="166" fontId="0" fillId="0" borderId="74" xfId="58" applyNumberFormat="1" applyBorder="1">
      <alignment/>
      <protection/>
    </xf>
    <xf numFmtId="166" fontId="0" fillId="0" borderId="27" xfId="58" applyNumberFormat="1" applyBorder="1">
      <alignment/>
      <protection/>
    </xf>
    <xf numFmtId="166" fontId="0" fillId="0" borderId="26" xfId="58" applyNumberFormat="1" applyBorder="1">
      <alignment/>
      <protection/>
    </xf>
    <xf numFmtId="180" fontId="0" fillId="39" borderId="29" xfId="58" applyNumberFormat="1" applyFill="1" applyBorder="1">
      <alignment/>
      <protection/>
    </xf>
    <xf numFmtId="166" fontId="0" fillId="39" borderId="40" xfId="58" applyNumberFormat="1" applyFill="1" applyBorder="1">
      <alignment/>
      <protection/>
    </xf>
    <xf numFmtId="166" fontId="0" fillId="39" borderId="31" xfId="58" applyNumberFormat="1" applyFill="1" applyBorder="1">
      <alignment/>
      <protection/>
    </xf>
    <xf numFmtId="166" fontId="0" fillId="39" borderId="23" xfId="58" applyNumberFormat="1" applyFill="1" applyBorder="1">
      <alignment/>
      <protection/>
    </xf>
    <xf numFmtId="166" fontId="0" fillId="0" borderId="67" xfId="58" applyNumberFormat="1" applyBorder="1">
      <alignment/>
      <protection/>
    </xf>
    <xf numFmtId="166" fontId="0" fillId="0" borderId="29" xfId="58" applyNumberFormat="1" applyFont="1" applyFill="1" applyBorder="1" applyAlignment="1">
      <alignment wrapText="1"/>
      <protection/>
    </xf>
    <xf numFmtId="166" fontId="0" fillId="0" borderId="84" xfId="58" applyNumberFormat="1" applyBorder="1" applyAlignment="1">
      <alignment wrapText="1"/>
      <protection/>
    </xf>
    <xf numFmtId="166" fontId="0" fillId="0" borderId="47" xfId="58" applyNumberFormat="1" applyBorder="1" applyAlignment="1">
      <alignment wrapText="1"/>
      <protection/>
    </xf>
    <xf numFmtId="166" fontId="0" fillId="0" borderId="48" xfId="58" applyNumberFormat="1" applyBorder="1">
      <alignment/>
      <protection/>
    </xf>
    <xf numFmtId="166" fontId="2" fillId="0" borderId="0" xfId="58" applyNumberFormat="1" applyFont="1">
      <alignment/>
      <protection/>
    </xf>
    <xf numFmtId="166" fontId="0" fillId="40" borderId="34" xfId="58" applyNumberFormat="1" applyFill="1" applyBorder="1" applyAlignment="1">
      <alignment wrapText="1"/>
      <protection/>
    </xf>
    <xf numFmtId="166" fontId="0" fillId="40" borderId="29" xfId="58" applyNumberFormat="1" applyFill="1" applyBorder="1" applyAlignment="1">
      <alignment wrapText="1"/>
      <protection/>
    </xf>
    <xf numFmtId="0" fontId="0" fillId="40" borderId="52" xfId="58" applyFill="1" applyBorder="1" applyAlignment="1">
      <alignment wrapText="1"/>
      <protection/>
    </xf>
    <xf numFmtId="166" fontId="0" fillId="41" borderId="29" xfId="0" applyNumberFormat="1" applyFill="1" applyBorder="1" applyAlignment="1">
      <alignment horizontal="center" wrapText="1"/>
    </xf>
    <xf numFmtId="176" fontId="0" fillId="0" borderId="29" xfId="42" applyNumberFormat="1" applyFont="1" applyBorder="1" applyAlignment="1">
      <alignment/>
    </xf>
    <xf numFmtId="0" fontId="0" fillId="0" borderId="0" xfId="58" applyBorder="1" applyAlignment="1">
      <alignment/>
      <protection/>
    </xf>
    <xf numFmtId="0" fontId="0" fillId="0" borderId="26" xfId="0" applyFont="1" applyBorder="1" applyAlignment="1">
      <alignment wrapText="1"/>
    </xf>
    <xf numFmtId="0" fontId="0" fillId="0" borderId="56" xfId="0" applyFont="1" applyBorder="1" applyAlignment="1">
      <alignment wrapText="1"/>
    </xf>
    <xf numFmtId="4" fontId="0" fillId="0" borderId="65" xfId="58" applyNumberFormat="1" applyBorder="1">
      <alignment/>
      <protection/>
    </xf>
    <xf numFmtId="166" fontId="0" fillId="38" borderId="29" xfId="0" applyNumberFormat="1" applyFont="1" applyFill="1" applyBorder="1" applyAlignment="1">
      <alignment horizontal="center" wrapText="1"/>
    </xf>
    <xf numFmtId="176" fontId="0" fillId="0" borderId="49" xfId="42" applyNumberFormat="1" applyFont="1" applyBorder="1" applyAlignment="1">
      <alignment/>
    </xf>
    <xf numFmtId="166" fontId="0" fillId="41" borderId="46" xfId="0" applyNumberFormat="1" applyFont="1" applyFill="1" applyBorder="1" applyAlignment="1">
      <alignment horizontal="center" wrapText="1"/>
    </xf>
    <xf numFmtId="176" fontId="0" fillId="0" borderId="0" xfId="42" applyNumberFormat="1" applyFont="1" applyAlignment="1">
      <alignment/>
    </xf>
    <xf numFmtId="165" fontId="0" fillId="0" borderId="0" xfId="63" applyNumberFormat="1" applyFont="1" applyAlignment="1">
      <alignment/>
    </xf>
    <xf numFmtId="43" fontId="0" fillId="0" borderId="0" xfId="58" applyNumberFormat="1">
      <alignment/>
      <protection/>
    </xf>
    <xf numFmtId="0" fontId="0" fillId="0" borderId="0" xfId="0" applyFont="1" applyAlignment="1">
      <alignment/>
    </xf>
    <xf numFmtId="4" fontId="0" fillId="0" borderId="0" xfId="58" applyNumberFormat="1" applyFill="1" applyBorder="1" applyAlignment="1">
      <alignment wrapText="1"/>
      <protection/>
    </xf>
    <xf numFmtId="179" fontId="0" fillId="0" borderId="0" xfId="0" applyNumberFormat="1" applyBorder="1" applyAlignment="1">
      <alignment/>
    </xf>
    <xf numFmtId="3" fontId="0" fillId="35" borderId="27" xfId="58" applyNumberFormat="1" applyFont="1" applyFill="1" applyBorder="1">
      <alignment/>
      <protection/>
    </xf>
    <xf numFmtId="4" fontId="0" fillId="0" borderId="28" xfId="58" applyNumberFormat="1" applyFont="1" applyBorder="1">
      <alignment/>
      <protection/>
    </xf>
    <xf numFmtId="164" fontId="0" fillId="0" borderId="16" xfId="58" applyNumberFormat="1" applyFont="1" applyFill="1" applyBorder="1">
      <alignment/>
      <protection/>
    </xf>
    <xf numFmtId="3" fontId="0" fillId="0" borderId="17" xfId="58" applyNumberFormat="1" applyFont="1" applyBorder="1">
      <alignment/>
      <protection/>
    </xf>
    <xf numFmtId="3" fontId="0" fillId="0" borderId="10" xfId="58" applyNumberFormat="1" applyFont="1" applyBorder="1" applyAlignment="1">
      <alignment horizontal="right"/>
      <protection/>
    </xf>
    <xf numFmtId="3" fontId="0" fillId="0" borderId="26" xfId="58" applyNumberFormat="1" applyFont="1" applyBorder="1" applyAlignment="1">
      <alignment horizontal="right"/>
      <protection/>
    </xf>
    <xf numFmtId="3" fontId="0" fillId="0" borderId="0" xfId="58" applyNumberFormat="1" applyFont="1">
      <alignment/>
      <protection/>
    </xf>
    <xf numFmtId="3" fontId="0" fillId="0" borderId="28" xfId="58" applyNumberFormat="1" applyFont="1" applyBorder="1">
      <alignment/>
      <protection/>
    </xf>
    <xf numFmtId="4" fontId="0" fillId="35" borderId="16" xfId="58" applyNumberFormat="1" applyFont="1" applyFill="1" applyBorder="1">
      <alignment/>
      <protection/>
    </xf>
    <xf numFmtId="3" fontId="0" fillId="0" borderId="24" xfId="58" applyNumberFormat="1" applyFont="1" applyFill="1" applyBorder="1">
      <alignment/>
      <protection/>
    </xf>
    <xf numFmtId="3" fontId="0" fillId="0" borderId="19" xfId="58" applyNumberFormat="1" applyFont="1" applyBorder="1">
      <alignment/>
      <protection/>
    </xf>
    <xf numFmtId="3" fontId="0" fillId="0" borderId="18" xfId="58" applyNumberFormat="1" applyFont="1" applyBorder="1" applyAlignment="1">
      <alignment horizontal="right"/>
      <protection/>
    </xf>
    <xf numFmtId="164" fontId="0" fillId="0" borderId="24" xfId="58" applyNumberFormat="1" applyFont="1" applyFill="1" applyBorder="1">
      <alignment/>
      <protection/>
    </xf>
    <xf numFmtId="3" fontId="0" fillId="0" borderId="37" xfId="58" applyNumberFormat="1" applyFont="1" applyBorder="1" applyAlignment="1">
      <alignment horizontal="right"/>
      <protection/>
    </xf>
    <xf numFmtId="164" fontId="0" fillId="0" borderId="0" xfId="58" applyNumberFormat="1" applyFont="1" applyFill="1" applyBorder="1">
      <alignment/>
      <protection/>
    </xf>
    <xf numFmtId="3" fontId="0" fillId="0" borderId="20" xfId="58" applyNumberFormat="1" applyFont="1" applyBorder="1" applyAlignment="1">
      <alignment horizontal="right" wrapText="1"/>
      <protection/>
    </xf>
    <xf numFmtId="3" fontId="0" fillId="0" borderId="27" xfId="58" applyNumberFormat="1" applyFont="1" applyBorder="1">
      <alignment/>
      <protection/>
    </xf>
    <xf numFmtId="3" fontId="0" fillId="0" borderId="24" xfId="58" applyNumberFormat="1" applyFont="1" applyBorder="1">
      <alignment/>
      <protection/>
    </xf>
    <xf numFmtId="3" fontId="0" fillId="0" borderId="10" xfId="58" applyNumberFormat="1" applyFont="1" applyBorder="1" applyAlignment="1">
      <alignment horizontal="right" wrapText="1"/>
      <protection/>
    </xf>
    <xf numFmtId="3" fontId="0" fillId="33" borderId="14" xfId="58" applyNumberFormat="1" applyFont="1" applyFill="1" applyBorder="1">
      <alignment/>
      <protection/>
    </xf>
    <xf numFmtId="3" fontId="0" fillId="33" borderId="15" xfId="58" applyNumberFormat="1" applyFont="1" applyFill="1" applyBorder="1" applyAlignment="1">
      <alignment horizontal="right"/>
      <protection/>
    </xf>
    <xf numFmtId="3" fontId="0" fillId="33" borderId="56" xfId="58" applyNumberFormat="1" applyFont="1" applyFill="1" applyBorder="1" applyAlignment="1">
      <alignment horizontal="right"/>
      <protection/>
    </xf>
    <xf numFmtId="3" fontId="0" fillId="33" borderId="88" xfId="58" applyNumberFormat="1" applyFont="1" applyFill="1" applyBorder="1" applyAlignment="1">
      <alignment horizontal="right"/>
      <protection/>
    </xf>
    <xf numFmtId="3" fontId="0" fillId="33" borderId="20" xfId="58" applyNumberFormat="1" applyFont="1" applyFill="1" applyBorder="1" applyAlignment="1">
      <alignment horizontal="right"/>
      <protection/>
    </xf>
    <xf numFmtId="164" fontId="0" fillId="33" borderId="21" xfId="58" applyNumberFormat="1" applyFont="1" applyFill="1" applyBorder="1">
      <alignment/>
      <protection/>
    </xf>
    <xf numFmtId="3" fontId="0" fillId="33" borderId="22" xfId="58" applyNumberFormat="1" applyFont="1" applyFill="1" applyBorder="1">
      <alignment/>
      <protection/>
    </xf>
    <xf numFmtId="164" fontId="0" fillId="35" borderId="16" xfId="58" applyNumberFormat="1" applyFont="1" applyFill="1" applyBorder="1">
      <alignment/>
      <protection/>
    </xf>
    <xf numFmtId="3" fontId="0" fillId="0" borderId="16" xfId="58" applyNumberFormat="1" applyFont="1" applyFill="1" applyBorder="1">
      <alignment/>
      <protection/>
    </xf>
    <xf numFmtId="3" fontId="0" fillId="33" borderId="12" xfId="58" applyNumberFormat="1" applyFont="1" applyFill="1" applyBorder="1">
      <alignment/>
      <protection/>
    </xf>
    <xf numFmtId="3" fontId="0" fillId="33" borderId="13" xfId="58" applyNumberFormat="1" applyFont="1" applyFill="1" applyBorder="1">
      <alignment/>
      <protection/>
    </xf>
    <xf numFmtId="3" fontId="0" fillId="33" borderId="38" xfId="58" applyNumberFormat="1" applyFont="1" applyFill="1" applyBorder="1">
      <alignment/>
      <protection/>
    </xf>
    <xf numFmtId="3" fontId="0" fillId="33" borderId="39" xfId="58" applyNumberFormat="1" applyFont="1" applyFill="1" applyBorder="1">
      <alignment/>
      <protection/>
    </xf>
    <xf numFmtId="3" fontId="0" fillId="0" borderId="26" xfId="58" applyNumberFormat="1" applyFont="1" applyBorder="1" applyAlignment="1">
      <alignment horizontal="right" wrapText="1"/>
      <protection/>
    </xf>
    <xf numFmtId="3" fontId="0" fillId="33" borderId="11" xfId="58" applyNumberFormat="1" applyFont="1" applyFill="1" applyBorder="1" applyAlignment="1">
      <alignment horizontal="right"/>
      <protection/>
    </xf>
    <xf numFmtId="3" fontId="0" fillId="33" borderId="37" xfId="58" applyNumberFormat="1" applyFont="1" applyFill="1" applyBorder="1" applyAlignment="1">
      <alignment horizontal="right"/>
      <protection/>
    </xf>
    <xf numFmtId="0" fontId="34" fillId="0" borderId="0" xfId="0" applyFont="1" applyAlignment="1">
      <alignment/>
    </xf>
    <xf numFmtId="3" fontId="4" fillId="0" borderId="0" xfId="54" applyNumberFormat="1" applyAlignment="1" applyProtection="1">
      <alignment/>
      <protection/>
    </xf>
    <xf numFmtId="0" fontId="35" fillId="0" borderId="0" xfId="54" applyFont="1" applyAlignment="1" applyProtection="1">
      <alignment/>
      <protection/>
    </xf>
    <xf numFmtId="176" fontId="0" fillId="0" borderId="52" xfId="42" applyNumberFormat="1" applyFont="1" applyBorder="1" applyAlignment="1">
      <alignment/>
    </xf>
    <xf numFmtId="201" fontId="0" fillId="0" borderId="0" xfId="63" applyNumberFormat="1" applyFont="1" applyAlignment="1">
      <alignment/>
    </xf>
    <xf numFmtId="202" fontId="0" fillId="0" borderId="0" xfId="63" applyNumberFormat="1" applyFont="1" applyAlignment="1">
      <alignment/>
    </xf>
    <xf numFmtId="14" fontId="0" fillId="0" borderId="0" xfId="0" applyNumberFormat="1" applyFont="1" applyAlignment="1">
      <alignment/>
    </xf>
    <xf numFmtId="0" fontId="0" fillId="0" borderId="31" xfId="58" applyFill="1" applyBorder="1" applyAlignment="1">
      <alignment wrapText="1"/>
      <protection/>
    </xf>
    <xf numFmtId="3" fontId="0" fillId="0" borderId="49" xfId="58" applyNumberFormat="1" applyFont="1" applyBorder="1">
      <alignment/>
      <protection/>
    </xf>
    <xf numFmtId="3" fontId="0" fillId="0" borderId="29" xfId="58" applyNumberFormat="1" applyFont="1" applyBorder="1">
      <alignment/>
      <protection/>
    </xf>
    <xf numFmtId="0" fontId="0" fillId="0" borderId="29" xfId="0" applyFont="1" applyBorder="1" applyAlignment="1">
      <alignment/>
    </xf>
    <xf numFmtId="0" fontId="0" fillId="35" borderId="39" xfId="0" applyFill="1" applyBorder="1" applyAlignment="1">
      <alignment horizontal="center"/>
    </xf>
    <xf numFmtId="3" fontId="0" fillId="0" borderId="28" xfId="58" applyNumberFormat="1" applyBorder="1" applyAlignment="1">
      <alignment horizontal="right"/>
      <protection/>
    </xf>
    <xf numFmtId="205" fontId="2" fillId="36" borderId="49" xfId="44" applyNumberFormat="1" applyFont="1" applyFill="1" applyBorder="1" applyAlignment="1">
      <alignment horizontal="left"/>
    </xf>
    <xf numFmtId="0" fontId="0" fillId="35" borderId="22" xfId="0" applyFill="1" applyBorder="1" applyAlignment="1">
      <alignment horizontal="center"/>
    </xf>
    <xf numFmtId="3" fontId="0" fillId="0" borderId="22" xfId="58" applyNumberFormat="1" applyFont="1" applyFill="1" applyBorder="1" applyAlignment="1">
      <alignment horizontal="left"/>
      <protection/>
    </xf>
    <xf numFmtId="0" fontId="14" fillId="0" borderId="0" xfId="0" applyFont="1" applyAlignment="1">
      <alignment wrapText="1"/>
    </xf>
    <xf numFmtId="3" fontId="0" fillId="0" borderId="0" xfId="58" applyNumberFormat="1" applyFill="1" applyBorder="1" applyAlignment="1">
      <alignment wrapText="1"/>
      <protection/>
    </xf>
    <xf numFmtId="0" fontId="32" fillId="0" borderId="0" xfId="58" applyFont="1" applyFill="1" applyBorder="1" applyAlignment="1">
      <alignment horizontal="right" wrapText="1"/>
      <protection/>
    </xf>
    <xf numFmtId="0" fontId="0" fillId="0" borderId="0" xfId="54" applyFont="1" applyFill="1" applyBorder="1" applyAlignment="1" applyProtection="1">
      <alignment/>
      <protection/>
    </xf>
    <xf numFmtId="0" fontId="0" fillId="0" borderId="0" xfId="58" applyFont="1" applyFill="1" applyBorder="1">
      <alignment/>
      <protection/>
    </xf>
    <xf numFmtId="0" fontId="31" fillId="0" borderId="0" xfId="58" applyFont="1" applyFill="1" applyBorder="1">
      <alignment/>
      <protection/>
    </xf>
    <xf numFmtId="0" fontId="0" fillId="0" borderId="89" xfId="58" applyFill="1" applyBorder="1" applyAlignment="1">
      <alignment wrapText="1"/>
      <protection/>
    </xf>
    <xf numFmtId="0" fontId="0" fillId="0" borderId="90" xfId="58" applyFill="1" applyBorder="1" applyAlignment="1">
      <alignment wrapText="1"/>
      <protection/>
    </xf>
    <xf numFmtId="0" fontId="0" fillId="0" borderId="91" xfId="58" applyFill="1" applyBorder="1">
      <alignment/>
      <protection/>
    </xf>
    <xf numFmtId="0" fontId="0" fillId="0" borderId="22" xfId="58" applyFill="1" applyBorder="1">
      <alignment/>
      <protection/>
    </xf>
    <xf numFmtId="0" fontId="0" fillId="0" borderId="92" xfId="58" applyFill="1" applyBorder="1">
      <alignment/>
      <protection/>
    </xf>
    <xf numFmtId="0" fontId="0" fillId="0" borderId="93" xfId="58" applyFill="1" applyBorder="1">
      <alignment/>
      <protection/>
    </xf>
    <xf numFmtId="0" fontId="14" fillId="0" borderId="0" xfId="58" applyFont="1" applyFill="1" applyBorder="1" applyAlignment="1">
      <alignment wrapText="1"/>
      <protection/>
    </xf>
    <xf numFmtId="0" fontId="2" fillId="0" borderId="79" xfId="0" applyFont="1" applyBorder="1" applyAlignment="1">
      <alignment/>
    </xf>
    <xf numFmtId="0" fontId="0" fillId="38" borderId="29" xfId="0" applyFill="1" applyBorder="1" applyAlignment="1">
      <alignment/>
    </xf>
    <xf numFmtId="0" fontId="14" fillId="35" borderId="0" xfId="0" applyFont="1" applyFill="1" applyAlignment="1">
      <alignment wrapText="1"/>
    </xf>
    <xf numFmtId="171" fontId="0" fillId="0" borderId="0" xfId="58" applyNumberFormat="1" applyBorder="1" applyAlignment="1">
      <alignment wrapText="1"/>
      <protection/>
    </xf>
    <xf numFmtId="0" fontId="36" fillId="0" borderId="0" xfId="0" applyFont="1" applyAlignment="1">
      <alignment wrapText="1"/>
    </xf>
    <xf numFmtId="0" fontId="36" fillId="0" borderId="0" xfId="0" applyFont="1" applyAlignment="1">
      <alignment wrapText="1"/>
    </xf>
    <xf numFmtId="14" fontId="36" fillId="0" borderId="0" xfId="0" applyNumberFormat="1" applyFont="1" applyAlignment="1">
      <alignment/>
    </xf>
    <xf numFmtId="0" fontId="36" fillId="0" borderId="0" xfId="0" applyFont="1" applyAlignment="1">
      <alignment/>
    </xf>
    <xf numFmtId="0" fontId="36" fillId="0" borderId="0" xfId="0" applyFont="1" applyAlignment="1">
      <alignment/>
    </xf>
    <xf numFmtId="3" fontId="2" fillId="35" borderId="49" xfId="58" applyNumberFormat="1" applyFont="1" applyFill="1" applyBorder="1">
      <alignment/>
      <protection/>
    </xf>
    <xf numFmtId="3" fontId="2" fillId="35" borderId="52" xfId="58" applyNumberFormat="1" applyFont="1" applyFill="1" applyBorder="1">
      <alignment/>
      <protection/>
    </xf>
    <xf numFmtId="3" fontId="0" fillId="0" borderId="29" xfId="58" applyNumberFormat="1" applyFont="1" applyBorder="1" applyAlignment="1">
      <alignment horizontal="left"/>
      <protection/>
    </xf>
    <xf numFmtId="3" fontId="2" fillId="35" borderId="49" xfId="58" applyNumberFormat="1" applyFont="1" applyFill="1" applyBorder="1" applyAlignment="1">
      <alignment horizontal="left"/>
      <protection/>
    </xf>
    <xf numFmtId="3" fontId="2" fillId="35" borderId="52" xfId="58" applyNumberFormat="1" applyFont="1" applyFill="1" applyBorder="1" applyAlignment="1">
      <alignment horizontal="left"/>
      <protection/>
    </xf>
    <xf numFmtId="3" fontId="0" fillId="33" borderId="29" xfId="58" applyNumberFormat="1" applyFill="1" applyBorder="1">
      <alignment/>
      <protection/>
    </xf>
    <xf numFmtId="3" fontId="0" fillId="33" borderId="29" xfId="58" applyNumberFormat="1" applyFont="1" applyFill="1" applyBorder="1" applyAlignment="1">
      <alignment wrapText="1"/>
      <protection/>
    </xf>
    <xf numFmtId="3" fontId="0" fillId="33" borderId="49" xfId="58" applyNumberFormat="1" applyFill="1" applyBorder="1">
      <alignment/>
      <protection/>
    </xf>
    <xf numFmtId="3" fontId="0" fillId="33" borderId="21" xfId="58" applyNumberFormat="1" applyFill="1" applyBorder="1" applyAlignment="1">
      <alignment horizontal="right"/>
      <protection/>
    </xf>
    <xf numFmtId="38" fontId="0" fillId="33" borderId="38" xfId="58" applyNumberFormat="1" applyFill="1" applyBorder="1">
      <alignment/>
      <protection/>
    </xf>
    <xf numFmtId="3" fontId="0" fillId="33" borderId="29" xfId="58" applyNumberFormat="1" applyFill="1" applyBorder="1" applyAlignment="1">
      <alignment horizontal="right"/>
      <protection/>
    </xf>
    <xf numFmtId="38" fontId="0" fillId="33" borderId="49" xfId="58" applyNumberFormat="1" applyFill="1" applyBorder="1">
      <alignment/>
      <protection/>
    </xf>
    <xf numFmtId="3" fontId="0" fillId="33" borderId="22" xfId="58" applyNumberFormat="1" applyFill="1" applyBorder="1" applyAlignment="1">
      <alignment horizontal="right"/>
      <protection/>
    </xf>
    <xf numFmtId="38" fontId="0" fillId="33" borderId="39" xfId="58" applyNumberFormat="1" applyFill="1" applyBorder="1">
      <alignment/>
      <protection/>
    </xf>
    <xf numFmtId="3" fontId="0" fillId="33" borderId="36" xfId="58" applyNumberFormat="1" applyFill="1" applyBorder="1" applyAlignment="1">
      <alignment horizontal="right"/>
      <protection/>
    </xf>
    <xf numFmtId="3" fontId="0" fillId="33" borderId="51" xfId="58" applyNumberFormat="1" applyFill="1" applyBorder="1" applyAlignment="1">
      <alignment horizontal="right"/>
      <protection/>
    </xf>
    <xf numFmtId="3" fontId="0" fillId="33" borderId="38" xfId="58" applyNumberFormat="1" applyFill="1" applyBorder="1" applyAlignment="1">
      <alignment horizontal="right"/>
      <protection/>
    </xf>
    <xf numFmtId="3" fontId="0" fillId="33" borderId="49" xfId="58" applyNumberFormat="1" applyFill="1" applyBorder="1" applyAlignment="1">
      <alignment horizontal="right"/>
      <protection/>
    </xf>
    <xf numFmtId="3" fontId="18" fillId="0" borderId="0" xfId="58" applyNumberFormat="1" applyFont="1" applyBorder="1">
      <alignment/>
      <protection/>
    </xf>
    <xf numFmtId="3" fontId="2" fillId="35" borderId="51" xfId="58" applyNumberFormat="1" applyFont="1" applyFill="1" applyBorder="1" applyAlignment="1">
      <alignment horizontal="left"/>
      <protection/>
    </xf>
    <xf numFmtId="3" fontId="2" fillId="0" borderId="37" xfId="58" applyNumberFormat="1" applyFont="1" applyFill="1" applyBorder="1" applyAlignment="1">
      <alignment horizontal="left"/>
      <protection/>
    </xf>
    <xf numFmtId="171" fontId="0" fillId="0" borderId="38" xfId="58" applyNumberFormat="1" applyFont="1" applyBorder="1" applyAlignment="1">
      <alignment wrapText="1"/>
      <protection/>
    </xf>
    <xf numFmtId="0" fontId="14" fillId="0" borderId="0" xfId="58" applyFont="1" applyAlignment="1">
      <alignment/>
      <protection/>
    </xf>
    <xf numFmtId="0" fontId="14" fillId="0" borderId="0" xfId="58" applyFont="1" applyAlignment="1">
      <alignment horizontal="left"/>
      <protection/>
    </xf>
    <xf numFmtId="0" fontId="14" fillId="0" borderId="0" xfId="58" applyFont="1" applyBorder="1" applyAlignment="1">
      <alignment/>
      <protection/>
    </xf>
    <xf numFmtId="165" fontId="0" fillId="0" borderId="0" xfId="58" applyNumberFormat="1" applyFill="1" applyBorder="1" applyAlignment="1">
      <alignment wrapText="1"/>
      <protection/>
    </xf>
    <xf numFmtId="166" fontId="0" fillId="39" borderId="18" xfId="58" applyNumberFormat="1" applyFill="1" applyBorder="1" applyAlignment="1">
      <alignment wrapText="1"/>
      <protection/>
    </xf>
    <xf numFmtId="3" fontId="0" fillId="0" borderId="29" xfId="58" applyNumberFormat="1" applyFill="1" applyBorder="1" applyAlignment="1">
      <alignment horizontal="center"/>
      <protection/>
    </xf>
    <xf numFmtId="0" fontId="0" fillId="0" borderId="36" xfId="58" applyBorder="1" applyAlignment="1">
      <alignment horizontal="center"/>
      <protection/>
    </xf>
    <xf numFmtId="180" fontId="31" fillId="0" borderId="0" xfId="58" applyNumberFormat="1" applyFont="1">
      <alignment/>
      <protection/>
    </xf>
    <xf numFmtId="1" fontId="0" fillId="0" borderId="29" xfId="58" applyNumberFormat="1" applyFill="1" applyBorder="1">
      <alignment/>
      <protection/>
    </xf>
    <xf numFmtId="3" fontId="0" fillId="33" borderId="49" xfId="58" applyNumberFormat="1" applyFont="1" applyFill="1" applyBorder="1" applyAlignment="1">
      <alignment wrapText="1"/>
      <protection/>
    </xf>
    <xf numFmtId="3" fontId="0" fillId="33" borderId="52" xfId="58" applyNumberFormat="1" applyFont="1" applyFill="1" applyBorder="1" applyAlignment="1">
      <alignment wrapText="1"/>
      <protection/>
    </xf>
    <xf numFmtId="3" fontId="21" fillId="33" borderId="11" xfId="58" applyNumberFormat="1" applyFont="1" applyFill="1" applyBorder="1" applyAlignment="1">
      <alignment horizontal="center"/>
      <protection/>
    </xf>
    <xf numFmtId="0" fontId="15" fillId="33" borderId="38" xfId="58" applyFont="1" applyFill="1" applyBorder="1" applyAlignment="1">
      <alignment horizontal="center"/>
      <protection/>
    </xf>
    <xf numFmtId="0" fontId="21" fillId="33" borderId="12" xfId="58" applyFont="1" applyFill="1" applyBorder="1" applyAlignment="1">
      <alignment horizontal="center"/>
      <protection/>
    </xf>
    <xf numFmtId="3" fontId="15" fillId="33" borderId="37" xfId="58" applyNumberFormat="1" applyFont="1" applyFill="1" applyBorder="1" applyAlignment="1">
      <alignment horizontal="right"/>
      <protection/>
    </xf>
    <xf numFmtId="0" fontId="15" fillId="33" borderId="38" xfId="58" applyFont="1" applyFill="1" applyBorder="1" applyAlignment="1">
      <alignment/>
      <protection/>
    </xf>
    <xf numFmtId="3" fontId="0" fillId="33" borderId="51" xfId="58" applyNumberFormat="1" applyFont="1" applyFill="1" applyBorder="1" applyAlignment="1">
      <alignment wrapText="1"/>
      <protection/>
    </xf>
    <xf numFmtId="3" fontId="0" fillId="33" borderId="36" xfId="58" applyNumberFormat="1" applyFill="1" applyBorder="1">
      <alignment/>
      <protection/>
    </xf>
    <xf numFmtId="3" fontId="21" fillId="33" borderId="12" xfId="58" applyNumberFormat="1" applyFont="1" applyFill="1" applyBorder="1" applyAlignment="1">
      <alignment horizontal="center"/>
      <protection/>
    </xf>
    <xf numFmtId="3" fontId="0" fillId="33" borderId="39" xfId="58" applyNumberFormat="1" applyFill="1" applyBorder="1">
      <alignment/>
      <protection/>
    </xf>
    <xf numFmtId="0" fontId="37" fillId="0" borderId="0" xfId="0" applyFont="1" applyAlignment="1">
      <alignment/>
    </xf>
    <xf numFmtId="180" fontId="4" fillId="0" borderId="0" xfId="54" applyNumberFormat="1" applyAlignment="1" applyProtection="1">
      <alignment/>
      <protection/>
    </xf>
    <xf numFmtId="0" fontId="0" fillId="35" borderId="29" xfId="58" applyFill="1" applyBorder="1" applyAlignment="1">
      <alignment horizontal="center"/>
      <protection/>
    </xf>
    <xf numFmtId="0" fontId="0" fillId="35" borderId="42" xfId="58" applyFill="1" applyBorder="1" applyAlignment="1">
      <alignment horizontal="center"/>
      <protection/>
    </xf>
    <xf numFmtId="0" fontId="0" fillId="35" borderId="34" xfId="58" applyFill="1" applyBorder="1" applyAlignment="1">
      <alignment horizontal="center"/>
      <protection/>
    </xf>
    <xf numFmtId="164" fontId="0" fillId="35" borderId="25" xfId="58" applyNumberFormat="1" applyFont="1" applyFill="1" applyBorder="1" applyAlignment="1">
      <alignment horizontal="right"/>
      <protection/>
    </xf>
    <xf numFmtId="164" fontId="0" fillId="35" borderId="29" xfId="58" applyNumberFormat="1" applyFont="1" applyFill="1" applyBorder="1" applyAlignment="1">
      <alignment horizontal="right"/>
      <protection/>
    </xf>
    <xf numFmtId="165" fontId="0" fillId="35" borderId="16" xfId="58" applyNumberFormat="1" applyFont="1" applyFill="1" applyBorder="1" applyAlignment="1">
      <alignment horizontal="right"/>
      <protection/>
    </xf>
    <xf numFmtId="3" fontId="0" fillId="35" borderId="16" xfId="58" applyNumberFormat="1" applyFont="1" applyFill="1" applyBorder="1" applyAlignment="1">
      <alignment horizontal="right"/>
      <protection/>
    </xf>
    <xf numFmtId="4" fontId="0" fillId="35" borderId="27" xfId="58" applyNumberFormat="1" applyFont="1" applyFill="1" applyBorder="1" applyAlignment="1">
      <alignment horizontal="right"/>
      <protection/>
    </xf>
    <xf numFmtId="4" fontId="38" fillId="42" borderId="27" xfId="58" applyNumberFormat="1" applyFont="1" applyFill="1" applyBorder="1">
      <alignment/>
      <protection/>
    </xf>
    <xf numFmtId="4" fontId="38" fillId="42" borderId="16" xfId="58" applyNumberFormat="1" applyFont="1" applyFill="1" applyBorder="1">
      <alignment/>
      <protection/>
    </xf>
    <xf numFmtId="4" fontId="38" fillId="43" borderId="16" xfId="58" applyNumberFormat="1" applyFont="1" applyFill="1" applyBorder="1">
      <alignment/>
      <protection/>
    </xf>
    <xf numFmtId="2" fontId="38" fillId="42" borderId="28" xfId="58" applyNumberFormat="1" applyFont="1" applyFill="1" applyBorder="1">
      <alignment/>
      <protection/>
    </xf>
    <xf numFmtId="2" fontId="38" fillId="42" borderId="17" xfId="58" applyNumberFormat="1" applyFont="1" applyFill="1" applyBorder="1">
      <alignment/>
      <protection/>
    </xf>
    <xf numFmtId="4" fontId="38" fillId="42" borderId="24" xfId="58" applyNumberFormat="1" applyFont="1" applyFill="1" applyBorder="1">
      <alignment/>
      <protection/>
    </xf>
    <xf numFmtId="2" fontId="38" fillId="42" borderId="19" xfId="58" applyNumberFormat="1" applyFont="1" applyFill="1" applyBorder="1">
      <alignment/>
      <protection/>
    </xf>
    <xf numFmtId="0" fontId="38" fillId="43" borderId="38" xfId="58" applyFont="1" applyFill="1" applyBorder="1">
      <alignment/>
      <protection/>
    </xf>
    <xf numFmtId="0" fontId="38" fillId="43" borderId="12" xfId="58" applyFont="1" applyFill="1" applyBorder="1">
      <alignment/>
      <protection/>
    </xf>
    <xf numFmtId="0" fontId="38" fillId="43" borderId="24" xfId="58" applyFont="1" applyFill="1" applyBorder="1">
      <alignment/>
      <protection/>
    </xf>
    <xf numFmtId="2" fontId="38" fillId="43" borderId="24" xfId="58" applyNumberFormat="1" applyFont="1" applyFill="1" applyBorder="1">
      <alignment/>
      <protection/>
    </xf>
    <xf numFmtId="4" fontId="38" fillId="43" borderId="27" xfId="58" applyNumberFormat="1" applyFont="1" applyFill="1" applyBorder="1">
      <alignment/>
      <protection/>
    </xf>
    <xf numFmtId="4" fontId="38" fillId="43" borderId="26" xfId="58" applyNumberFormat="1" applyFont="1" applyFill="1" applyBorder="1">
      <alignment/>
      <protection/>
    </xf>
    <xf numFmtId="4" fontId="38" fillId="43" borderId="10" xfId="58" applyNumberFormat="1" applyFont="1" applyFill="1" applyBorder="1">
      <alignment/>
      <protection/>
    </xf>
    <xf numFmtId="0" fontId="38" fillId="43" borderId="10" xfId="58" applyFont="1" applyFill="1" applyBorder="1">
      <alignment/>
      <protection/>
    </xf>
    <xf numFmtId="2" fontId="38" fillId="43" borderId="16" xfId="58" applyNumberFormat="1" applyFont="1" applyFill="1" applyBorder="1">
      <alignment/>
      <protection/>
    </xf>
    <xf numFmtId="0" fontId="38" fillId="43" borderId="0" xfId="58" applyFont="1" applyFill="1">
      <alignment/>
      <protection/>
    </xf>
    <xf numFmtId="14" fontId="38" fillId="43" borderId="0" xfId="58" applyNumberFormat="1" applyFont="1" applyFill="1">
      <alignment/>
      <protection/>
    </xf>
    <xf numFmtId="2" fontId="38" fillId="43" borderId="0" xfId="58" applyNumberFormat="1" applyFont="1" applyFill="1">
      <alignment/>
      <protection/>
    </xf>
    <xf numFmtId="4" fontId="38" fillId="43" borderId="70" xfId="58" applyNumberFormat="1" applyFont="1" applyFill="1" applyBorder="1">
      <alignment/>
      <protection/>
    </xf>
    <xf numFmtId="180" fontId="38" fillId="43" borderId="0" xfId="46" applyNumberFormat="1" applyFont="1" applyFill="1" applyAlignment="1">
      <alignment/>
    </xf>
    <xf numFmtId="180" fontId="38" fillId="43" borderId="16" xfId="58" applyNumberFormat="1" applyFont="1" applyFill="1" applyBorder="1">
      <alignment/>
      <protection/>
    </xf>
    <xf numFmtId="180" fontId="38" fillId="43" borderId="24" xfId="58" applyNumberFormat="1" applyFont="1" applyFill="1" applyBorder="1">
      <alignment/>
      <protection/>
    </xf>
    <xf numFmtId="0" fontId="38" fillId="43" borderId="28" xfId="58" applyFont="1" applyFill="1" applyBorder="1">
      <alignment/>
      <protection/>
    </xf>
    <xf numFmtId="0" fontId="38" fillId="43" borderId="17" xfId="58" applyFont="1" applyFill="1" applyBorder="1">
      <alignment/>
      <protection/>
    </xf>
    <xf numFmtId="166" fontId="38" fillId="43" borderId="17" xfId="58" applyNumberFormat="1" applyFont="1" applyFill="1" applyBorder="1">
      <alignment/>
      <protection/>
    </xf>
    <xf numFmtId="0" fontId="38" fillId="43" borderId="19" xfId="58" applyFont="1" applyFill="1" applyBorder="1">
      <alignment/>
      <protection/>
    </xf>
    <xf numFmtId="0" fontId="38" fillId="42" borderId="0" xfId="58" applyFont="1" applyFill="1">
      <alignment/>
      <protection/>
    </xf>
    <xf numFmtId="171" fontId="0" fillId="0" borderId="0" xfId="58" applyNumberFormat="1" applyFill="1" applyBorder="1">
      <alignment/>
      <protection/>
    </xf>
    <xf numFmtId="1" fontId="0" fillId="44" borderId="16" xfId="0" applyNumberFormat="1" applyFill="1" applyBorder="1" applyAlignment="1">
      <alignment/>
    </xf>
    <xf numFmtId="4" fontId="9" fillId="0" borderId="0" xfId="0" applyNumberFormat="1" applyFont="1" applyAlignment="1">
      <alignment/>
    </xf>
    <xf numFmtId="0" fontId="38" fillId="43" borderId="29" xfId="58" applyFont="1" applyFill="1" applyBorder="1">
      <alignment/>
      <protection/>
    </xf>
    <xf numFmtId="179" fontId="38" fillId="43" borderId="75" xfId="58" applyNumberFormat="1" applyFont="1" applyFill="1" applyBorder="1">
      <alignment/>
      <protection/>
    </xf>
    <xf numFmtId="0" fontId="38" fillId="42" borderId="29" xfId="58" applyFont="1" applyFill="1" applyBorder="1">
      <alignment/>
      <protection/>
    </xf>
    <xf numFmtId="179" fontId="38" fillId="42" borderId="29" xfId="58" applyNumberFormat="1" applyFont="1" applyFill="1" applyBorder="1" applyAlignment="1">
      <alignment horizontal="right"/>
      <protection/>
    </xf>
    <xf numFmtId="1" fontId="38" fillId="42" borderId="82" xfId="58" applyNumberFormat="1" applyFont="1" applyFill="1" applyBorder="1">
      <alignment/>
      <protection/>
    </xf>
    <xf numFmtId="1" fontId="38" fillId="42" borderId="68" xfId="58" applyNumberFormat="1" applyFont="1" applyFill="1" applyBorder="1">
      <alignment/>
      <protection/>
    </xf>
    <xf numFmtId="189" fontId="38" fillId="42" borderId="39" xfId="42" applyNumberFormat="1" applyFont="1" applyFill="1" applyBorder="1" applyAlignment="1">
      <alignment/>
    </xf>
    <xf numFmtId="2" fontId="38" fillId="43" borderId="54" xfId="0" applyNumberFormat="1" applyFont="1" applyFill="1" applyBorder="1" applyAlignment="1">
      <alignment/>
    </xf>
    <xf numFmtId="0" fontId="38" fillId="43" borderId="16" xfId="58" applyFont="1" applyFill="1" applyBorder="1">
      <alignment/>
      <protection/>
    </xf>
    <xf numFmtId="0" fontId="38" fillId="42" borderId="27" xfId="58" applyFont="1" applyFill="1" applyBorder="1">
      <alignment/>
      <protection/>
    </xf>
    <xf numFmtId="0" fontId="38" fillId="42" borderId="16" xfId="58" applyFont="1" applyFill="1" applyBorder="1">
      <alignment/>
      <protection/>
    </xf>
    <xf numFmtId="0" fontId="38" fillId="42" borderId="17" xfId="58" applyFont="1" applyFill="1" applyBorder="1" applyAlignment="1">
      <alignment wrapText="1"/>
      <protection/>
    </xf>
    <xf numFmtId="0" fontId="38" fillId="42" borderId="19" xfId="58" applyFont="1" applyFill="1" applyBorder="1" applyAlignment="1">
      <alignment wrapText="1"/>
      <protection/>
    </xf>
    <xf numFmtId="0" fontId="38" fillId="43" borderId="16" xfId="58" applyFont="1" applyFill="1" applyBorder="1" applyAlignment="1">
      <alignment wrapText="1"/>
      <protection/>
    </xf>
    <xf numFmtId="0" fontId="38" fillId="43" borderId="24" xfId="58" applyFont="1" applyFill="1" applyBorder="1" applyAlignment="1">
      <alignment wrapText="1"/>
      <protection/>
    </xf>
    <xf numFmtId="0" fontId="38" fillId="43" borderId="0" xfId="58" applyFont="1" applyFill="1" applyBorder="1" applyAlignment="1">
      <alignment wrapText="1"/>
      <protection/>
    </xf>
    <xf numFmtId="0" fontId="38" fillId="42" borderId="31" xfId="58" applyFont="1" applyFill="1" applyBorder="1" applyAlignment="1">
      <alignment wrapText="1"/>
      <protection/>
    </xf>
    <xf numFmtId="0" fontId="38" fillId="42" borderId="16" xfId="58" applyFont="1" applyFill="1" applyBorder="1" applyAlignment="1">
      <alignment wrapText="1"/>
      <protection/>
    </xf>
    <xf numFmtId="0" fontId="38" fillId="42" borderId="24" xfId="58" applyFont="1" applyFill="1" applyBorder="1" applyAlignment="1">
      <alignment wrapText="1"/>
      <protection/>
    </xf>
    <xf numFmtId="0" fontId="38" fillId="42" borderId="45" xfId="58" applyFont="1" applyFill="1" applyBorder="1" applyAlignment="1">
      <alignment wrapText="1"/>
      <protection/>
    </xf>
    <xf numFmtId="0" fontId="0" fillId="45" borderId="0" xfId="0" applyFill="1" applyAlignment="1">
      <alignment/>
    </xf>
    <xf numFmtId="0" fontId="0" fillId="46" borderId="0" xfId="0" applyFill="1" applyAlignment="1">
      <alignment/>
    </xf>
    <xf numFmtId="166" fontId="14" fillId="0" borderId="0" xfId="58" applyNumberFormat="1" applyFont="1">
      <alignment/>
      <protection/>
    </xf>
    <xf numFmtId="206" fontId="0" fillId="33" borderId="38" xfId="58" applyNumberFormat="1" applyFill="1" applyBorder="1">
      <alignment/>
      <protection/>
    </xf>
    <xf numFmtId="0" fontId="0" fillId="0" borderId="0" xfId="58" applyAlignment="1">
      <alignment horizontal="left" vertical="center" wrapText="1"/>
      <protection/>
    </xf>
    <xf numFmtId="0" fontId="0" fillId="38" borderId="0" xfId="58" applyFont="1" applyFill="1" applyBorder="1" applyAlignment="1">
      <alignment wrapText="1"/>
      <protection/>
    </xf>
    <xf numFmtId="166" fontId="0" fillId="0" borderId="0" xfId="58" applyNumberFormat="1" applyFont="1" applyAlignment="1">
      <alignment wrapText="1"/>
      <protection/>
    </xf>
    <xf numFmtId="0" fontId="0" fillId="0" borderId="0" xfId="58" applyFont="1" applyAlignment="1">
      <alignment wrapText="1"/>
      <protection/>
    </xf>
    <xf numFmtId="166" fontId="0" fillId="40" borderId="0" xfId="58" applyNumberFormat="1" applyFont="1" applyFill="1" applyAlignment="1">
      <alignment wrapText="1"/>
      <protection/>
    </xf>
    <xf numFmtId="0" fontId="0" fillId="40" borderId="0" xfId="58" applyFont="1" applyFill="1" applyAlignment="1">
      <alignment wrapText="1"/>
      <protection/>
    </xf>
    <xf numFmtId="166" fontId="11" fillId="0" borderId="0" xfId="58" applyNumberFormat="1" applyFont="1" applyAlignment="1">
      <alignment wrapText="1"/>
      <protection/>
    </xf>
    <xf numFmtId="0" fontId="0" fillId="0" borderId="0" xfId="58" applyAlignment="1">
      <alignment wrapText="1"/>
      <protection/>
    </xf>
    <xf numFmtId="166" fontId="0" fillId="37" borderId="0" xfId="58" applyNumberFormat="1" applyFont="1" applyFill="1" applyAlignment="1">
      <alignment wrapText="1"/>
      <protection/>
    </xf>
    <xf numFmtId="0" fontId="0" fillId="37" borderId="0" xfId="58" applyFont="1" applyFill="1" applyAlignment="1">
      <alignment wrapText="1"/>
      <protection/>
    </xf>
    <xf numFmtId="8" fontId="0" fillId="38" borderId="63" xfId="58" applyNumberFormat="1" applyFont="1" applyFill="1" applyBorder="1" applyAlignment="1">
      <alignment horizontal="center" wrapText="1"/>
      <protection/>
    </xf>
    <xf numFmtId="8" fontId="0" fillId="38" borderId="62" xfId="58" applyNumberFormat="1" applyFont="1" applyFill="1" applyBorder="1" applyAlignment="1">
      <alignment horizontal="center" wrapText="1"/>
      <protection/>
    </xf>
    <xf numFmtId="8" fontId="0" fillId="39" borderId="63" xfId="58" applyNumberFormat="1" applyFont="1" applyFill="1" applyBorder="1" applyAlignment="1">
      <alignment horizontal="center" wrapText="1"/>
      <protection/>
    </xf>
    <xf numFmtId="8" fontId="0" fillId="39" borderId="62" xfId="58" applyNumberFormat="1" applyFont="1" applyFill="1" applyBorder="1" applyAlignment="1">
      <alignment horizontal="center" wrapText="1"/>
      <protection/>
    </xf>
    <xf numFmtId="0" fontId="2" fillId="41" borderId="63" xfId="58" applyFont="1" applyFill="1" applyBorder="1" applyAlignment="1">
      <alignment wrapText="1"/>
      <protection/>
    </xf>
    <xf numFmtId="0" fontId="2" fillId="41" borderId="62" xfId="58" applyFont="1" applyFill="1" applyBorder="1" applyAlignment="1">
      <alignment wrapText="1"/>
      <protection/>
    </xf>
    <xf numFmtId="8" fontId="0" fillId="0" borderId="63" xfId="58" applyNumberFormat="1" applyFont="1" applyFill="1" applyBorder="1" applyAlignment="1">
      <alignment horizontal="center" wrapText="1"/>
      <protection/>
    </xf>
    <xf numFmtId="8" fontId="0" fillId="0" borderId="62" xfId="58" applyNumberFormat="1" applyFont="1" applyFill="1" applyBorder="1" applyAlignment="1">
      <alignment horizontal="center" wrapText="1"/>
      <protection/>
    </xf>
    <xf numFmtId="0" fontId="0" fillId="40" borderId="63" xfId="58" applyFont="1" applyFill="1" applyBorder="1" applyAlignment="1">
      <alignment horizontal="center" wrapText="1"/>
      <protection/>
    </xf>
    <xf numFmtId="0" fontId="0" fillId="40" borderId="62" xfId="58" applyFont="1" applyFill="1" applyBorder="1" applyAlignment="1">
      <alignment horizontal="center" wrapText="1"/>
      <protection/>
    </xf>
    <xf numFmtId="0" fontId="0" fillId="37" borderId="63" xfId="58" applyFont="1" applyFill="1" applyBorder="1" applyAlignment="1">
      <alignment horizontal="center" wrapText="1"/>
      <protection/>
    </xf>
    <xf numFmtId="0" fontId="0" fillId="37" borderId="62" xfId="58" applyFont="1" applyFill="1" applyBorder="1" applyAlignment="1">
      <alignment horizontal="center" wrapText="1"/>
      <protection/>
    </xf>
    <xf numFmtId="0" fontId="0" fillId="39" borderId="63" xfId="58" applyFont="1" applyFill="1" applyBorder="1" applyAlignment="1">
      <alignment horizontal="center" wrapText="1"/>
      <protection/>
    </xf>
    <xf numFmtId="0" fontId="0" fillId="39" borderId="62" xfId="58" applyFont="1" applyFill="1" applyBorder="1" applyAlignment="1">
      <alignment horizontal="center" wrapText="1"/>
      <protection/>
    </xf>
    <xf numFmtId="0" fontId="0" fillId="38" borderId="63" xfId="58" applyFont="1" applyFill="1" applyBorder="1" applyAlignment="1">
      <alignment horizontal="center" wrapText="1"/>
      <protection/>
    </xf>
    <xf numFmtId="0" fontId="0" fillId="38" borderId="62" xfId="58" applyFont="1" applyFill="1" applyBorder="1" applyAlignment="1">
      <alignment horizontal="center" wrapText="1"/>
      <protection/>
    </xf>
    <xf numFmtId="0" fontId="2" fillId="41" borderId="94" xfId="58" applyFont="1" applyFill="1" applyBorder="1" applyAlignment="1">
      <alignment wrapText="1"/>
      <protection/>
    </xf>
    <xf numFmtId="3" fontId="0" fillId="0" borderId="63" xfId="58" applyNumberFormat="1" applyFont="1" applyFill="1" applyBorder="1" applyAlignment="1">
      <alignment horizontal="center" wrapText="1"/>
      <protection/>
    </xf>
    <xf numFmtId="3" fontId="0" fillId="0" borderId="62" xfId="58" applyNumberFormat="1" applyFont="1" applyFill="1" applyBorder="1" applyAlignment="1">
      <alignment horizontal="center" wrapText="1"/>
      <protection/>
    </xf>
    <xf numFmtId="0" fontId="0" fillId="40" borderId="63" xfId="54" applyFont="1" applyFill="1" applyBorder="1" applyAlignment="1" applyProtection="1">
      <alignment horizontal="center" wrapText="1"/>
      <protection/>
    </xf>
    <xf numFmtId="0" fontId="0" fillId="40" borderId="62" xfId="54" applyFont="1" applyFill="1" applyBorder="1" applyAlignment="1" applyProtection="1">
      <alignment horizontal="center" wrapText="1"/>
      <protection/>
    </xf>
    <xf numFmtId="0" fontId="0" fillId="0" borderId="63" xfId="58" applyFont="1" applyFill="1" applyBorder="1" applyAlignment="1">
      <alignment horizontal="center" wrapText="1"/>
      <protection/>
    </xf>
    <xf numFmtId="0" fontId="0" fillId="0" borderId="62" xfId="58" applyFont="1" applyFill="1" applyBorder="1" applyAlignment="1">
      <alignment horizontal="center" wrapText="1"/>
      <protection/>
    </xf>
    <xf numFmtId="0" fontId="0" fillId="41" borderId="20" xfId="58" applyFont="1" applyFill="1" applyBorder="1" applyAlignment="1">
      <alignment horizontal="center"/>
      <protection/>
    </xf>
    <xf numFmtId="0" fontId="0" fillId="41" borderId="21" xfId="58" applyFont="1" applyFill="1" applyBorder="1" applyAlignment="1">
      <alignment horizontal="center"/>
      <protection/>
    </xf>
    <xf numFmtId="0" fontId="0" fillId="41" borderId="22" xfId="58" applyFont="1" applyFill="1" applyBorder="1" applyAlignment="1">
      <alignment horizontal="center"/>
      <protection/>
    </xf>
    <xf numFmtId="166" fontId="0" fillId="41" borderId="20" xfId="58" applyNumberFormat="1" applyFill="1" applyBorder="1" applyAlignment="1">
      <alignment horizontal="center" wrapText="1"/>
      <protection/>
    </xf>
    <xf numFmtId="166" fontId="0" fillId="41" borderId="21" xfId="58" applyNumberFormat="1" applyFill="1" applyBorder="1" applyAlignment="1">
      <alignment horizontal="center" wrapText="1"/>
      <protection/>
    </xf>
    <xf numFmtId="166" fontId="0" fillId="41" borderId="22" xfId="58" applyNumberFormat="1" applyFill="1" applyBorder="1" applyAlignment="1">
      <alignment horizontal="center" wrapText="1"/>
      <protection/>
    </xf>
    <xf numFmtId="166" fontId="0" fillId="38" borderId="20" xfId="58" applyNumberFormat="1" applyFill="1" applyBorder="1" applyAlignment="1">
      <alignment horizontal="center" wrapText="1"/>
      <protection/>
    </xf>
    <xf numFmtId="166" fontId="0" fillId="38" borderId="21" xfId="58" applyNumberFormat="1" applyFill="1" applyBorder="1" applyAlignment="1">
      <alignment horizontal="center" wrapText="1"/>
      <protection/>
    </xf>
    <xf numFmtId="166" fontId="0" fillId="38" borderId="22" xfId="58" applyNumberFormat="1" applyFill="1" applyBorder="1" applyAlignment="1">
      <alignment horizontal="center" wrapText="1"/>
      <protection/>
    </xf>
    <xf numFmtId="1" fontId="0" fillId="41" borderId="20" xfId="58" applyNumberFormat="1" applyFont="1" applyFill="1" applyBorder="1" applyAlignment="1">
      <alignment horizontal="center" wrapText="1"/>
      <protection/>
    </xf>
    <xf numFmtId="1" fontId="0" fillId="0" borderId="21" xfId="58" applyNumberFormat="1" applyBorder="1" applyAlignment="1">
      <alignment horizontal="center" wrapText="1"/>
      <protection/>
    </xf>
    <xf numFmtId="1" fontId="0" fillId="0" borderId="22" xfId="58" applyNumberFormat="1" applyBorder="1" applyAlignment="1">
      <alignment horizontal="center" wrapText="1"/>
      <protection/>
    </xf>
    <xf numFmtId="0" fontId="0" fillId="38" borderId="20" xfId="58" applyFill="1" applyBorder="1" applyAlignment="1">
      <alignment horizontal="center"/>
      <protection/>
    </xf>
    <xf numFmtId="0" fontId="0" fillId="38" borderId="21" xfId="58" applyFill="1" applyBorder="1" applyAlignment="1">
      <alignment horizontal="center"/>
      <protection/>
    </xf>
    <xf numFmtId="0" fontId="0" fillId="38" borderId="22" xfId="58" applyFill="1" applyBorder="1" applyAlignment="1">
      <alignment horizontal="center"/>
      <protection/>
    </xf>
    <xf numFmtId="166" fontId="0" fillId="38" borderId="46" xfId="58" applyNumberFormat="1" applyFill="1" applyBorder="1" applyAlignment="1">
      <alignment horizontal="center" wrapText="1"/>
      <protection/>
    </xf>
    <xf numFmtId="0" fontId="0" fillId="0" borderId="50" xfId="58" applyBorder="1" applyAlignment="1">
      <alignment/>
      <protection/>
    </xf>
    <xf numFmtId="0" fontId="0" fillId="41" borderId="20" xfId="58" applyFont="1" applyFill="1" applyBorder="1" applyAlignment="1">
      <alignment horizontal="left" wrapText="1"/>
      <protection/>
    </xf>
    <xf numFmtId="0" fontId="0" fillId="0" borderId="21" xfId="58" applyBorder="1" applyAlignment="1">
      <alignment horizontal="left" wrapText="1"/>
      <protection/>
    </xf>
    <xf numFmtId="0" fontId="0" fillId="0" borderId="22" xfId="58" applyBorder="1" applyAlignment="1">
      <alignment horizontal="left" wrapText="1"/>
      <protection/>
    </xf>
    <xf numFmtId="0" fontId="0" fillId="38" borderId="20" xfId="58" applyFill="1" applyBorder="1" applyAlignment="1">
      <alignment horizontal="left" wrapText="1"/>
      <protection/>
    </xf>
    <xf numFmtId="1" fontId="0" fillId="41" borderId="37" xfId="58" applyNumberFormat="1" applyFont="1" applyFill="1" applyBorder="1" applyAlignment="1">
      <alignment horizontal="center" wrapText="1"/>
      <protection/>
    </xf>
    <xf numFmtId="1" fontId="0" fillId="41" borderId="38" xfId="58" applyNumberFormat="1" applyFill="1" applyBorder="1" applyAlignment="1">
      <alignment horizontal="center" wrapText="1"/>
      <protection/>
    </xf>
    <xf numFmtId="1" fontId="0" fillId="41" borderId="39" xfId="58" applyNumberFormat="1" applyFill="1" applyBorder="1" applyAlignment="1">
      <alignment horizontal="center" wrapText="1"/>
      <protection/>
    </xf>
    <xf numFmtId="2" fontId="0" fillId="41" borderId="48" xfId="58" applyNumberFormat="1" applyFont="1" applyFill="1" applyBorder="1" applyAlignment="1">
      <alignment horizontal="center" wrapText="1"/>
      <protection/>
    </xf>
    <xf numFmtId="0" fontId="0" fillId="0" borderId="56" xfId="58" applyBorder="1" applyAlignment="1">
      <alignment horizontal="center" wrapText="1"/>
      <protection/>
    </xf>
    <xf numFmtId="166" fontId="0" fillId="41" borderId="46" xfId="58" applyNumberFormat="1" applyFill="1" applyBorder="1" applyAlignment="1">
      <alignment horizontal="center" wrapText="1"/>
      <protection/>
    </xf>
    <xf numFmtId="0" fontId="0" fillId="0" borderId="50" xfId="58" applyBorder="1" applyAlignment="1">
      <alignment horizontal="center" wrapText="1"/>
      <protection/>
    </xf>
    <xf numFmtId="0" fontId="0" fillId="41" borderId="13" xfId="58" applyFont="1" applyFill="1" applyBorder="1" applyAlignment="1">
      <alignment/>
      <protection/>
    </xf>
    <xf numFmtId="0" fontId="0" fillId="0" borderId="39" xfId="58" applyBorder="1" applyAlignment="1">
      <alignment/>
      <protection/>
    </xf>
    <xf numFmtId="166" fontId="0" fillId="38" borderId="78" xfId="58" applyNumberFormat="1" applyFill="1" applyBorder="1" applyAlignment="1">
      <alignment horizontal="center" wrapText="1"/>
      <protection/>
    </xf>
    <xf numFmtId="0" fontId="0" fillId="0" borderId="95" xfId="58" applyBorder="1" applyAlignment="1">
      <alignment/>
      <protection/>
    </xf>
    <xf numFmtId="166" fontId="0" fillId="38" borderId="47" xfId="58" applyNumberFormat="1" applyFill="1" applyBorder="1" applyAlignment="1">
      <alignment horizontal="center" wrapText="1"/>
      <protection/>
    </xf>
    <xf numFmtId="0" fontId="0" fillId="0" borderId="88" xfId="58" applyBorder="1" applyAlignment="1">
      <alignment/>
      <protection/>
    </xf>
    <xf numFmtId="180" fontId="0" fillId="41" borderId="47" xfId="58" applyNumberFormat="1" applyFont="1" applyFill="1" applyBorder="1" applyAlignment="1">
      <alignment horizontal="center" wrapText="1"/>
      <protection/>
    </xf>
    <xf numFmtId="0" fontId="0" fillId="0" borderId="88" xfId="58" applyBorder="1" applyAlignment="1">
      <alignment horizontal="center" wrapText="1"/>
      <protection/>
    </xf>
    <xf numFmtId="3" fontId="0" fillId="0" borderId="18" xfId="58" applyNumberFormat="1" applyBorder="1" applyAlignment="1">
      <alignment/>
      <protection/>
    </xf>
    <xf numFmtId="3" fontId="0" fillId="0" borderId="24" xfId="58" applyNumberFormat="1" applyBorder="1" applyAlignment="1">
      <alignment/>
      <protection/>
    </xf>
    <xf numFmtId="173" fontId="0" fillId="0" borderId="24" xfId="58" applyNumberFormat="1" applyBorder="1" applyAlignment="1">
      <alignment/>
      <protection/>
    </xf>
    <xf numFmtId="2" fontId="0" fillId="41" borderId="11" xfId="58" applyNumberFormat="1" applyFont="1" applyFill="1" applyBorder="1" applyAlignment="1">
      <alignment horizontal="center" wrapText="1"/>
      <protection/>
    </xf>
    <xf numFmtId="0" fontId="0" fillId="0" borderId="78" xfId="58" applyBorder="1" applyAlignment="1">
      <alignment/>
      <protection/>
    </xf>
    <xf numFmtId="180" fontId="0" fillId="41" borderId="84" xfId="58" applyNumberFormat="1" applyFont="1" applyFill="1" applyBorder="1" applyAlignment="1">
      <alignment horizontal="center" wrapText="1"/>
      <protection/>
    </xf>
    <xf numFmtId="3" fontId="0" fillId="0" borderId="26" xfId="58" applyNumberFormat="1" applyBorder="1" applyAlignment="1">
      <alignment/>
      <protection/>
    </xf>
    <xf numFmtId="3" fontId="0" fillId="0" borderId="27" xfId="58" applyNumberFormat="1" applyBorder="1" applyAlignment="1">
      <alignment/>
      <protection/>
    </xf>
    <xf numFmtId="173" fontId="0" fillId="0" borderId="27" xfId="58" applyNumberFormat="1" applyBorder="1" applyAlignment="1">
      <alignment/>
      <protection/>
    </xf>
    <xf numFmtId="3" fontId="0" fillId="0" borderId="10" xfId="58" applyNumberFormat="1" applyBorder="1" applyAlignment="1">
      <alignment/>
      <protection/>
    </xf>
    <xf numFmtId="3" fontId="0" fillId="0" borderId="16" xfId="58" applyNumberFormat="1" applyBorder="1" applyAlignment="1">
      <alignment/>
      <protection/>
    </xf>
    <xf numFmtId="173" fontId="0" fillId="0" borderId="16" xfId="58" applyNumberFormat="1" applyBorder="1" applyAlignment="1">
      <alignment/>
      <protection/>
    </xf>
    <xf numFmtId="171" fontId="0" fillId="0" borderId="0" xfId="58" applyNumberFormat="1" applyFont="1" applyAlignment="1">
      <alignment wrapText="1"/>
      <protection/>
    </xf>
    <xf numFmtId="171" fontId="0" fillId="0" borderId="0" xfId="58" applyNumberFormat="1" applyAlignment="1">
      <alignment wrapText="1"/>
      <protection/>
    </xf>
    <xf numFmtId="171" fontId="0" fillId="0" borderId="0" xfId="58" applyNumberFormat="1" applyFont="1" applyBorder="1" applyAlignment="1">
      <alignment wrapText="1"/>
      <protection/>
    </xf>
    <xf numFmtId="171" fontId="0" fillId="0" borderId="0" xfId="58" applyNumberFormat="1" applyBorder="1" applyAlignment="1">
      <alignment wrapText="1"/>
      <protection/>
    </xf>
    <xf numFmtId="0" fontId="0" fillId="0" borderId="0" xfId="0" applyFont="1" applyAlignment="1">
      <alignment wrapText="1"/>
    </xf>
    <xf numFmtId="0" fontId="0" fillId="0" borderId="0" xfId="0" applyAlignment="1">
      <alignment wrapText="1"/>
    </xf>
    <xf numFmtId="0" fontId="4" fillId="0" borderId="0" xfId="54" applyFont="1" applyAlignment="1" applyProtection="1">
      <alignment horizontal="left" vertical="center"/>
      <protection/>
    </xf>
    <xf numFmtId="166" fontId="0" fillId="36" borderId="38" xfId="58" applyNumberFormat="1" applyFill="1" applyBorder="1" applyAlignment="1">
      <alignment horizontal="center"/>
      <protection/>
    </xf>
    <xf numFmtId="171" fontId="0" fillId="36" borderId="38" xfId="58" applyNumberFormat="1" applyFill="1" applyBorder="1" applyAlignment="1">
      <alignment horizontal="center"/>
      <protection/>
    </xf>
    <xf numFmtId="180" fontId="0" fillId="36" borderId="38" xfId="58" applyNumberFormat="1" applyFill="1" applyBorder="1" applyAlignment="1">
      <alignment horizontal="center"/>
      <protection/>
    </xf>
    <xf numFmtId="0" fontId="0" fillId="0" borderId="0" xfId="58" applyAlignment="1">
      <alignment horizontal="left" wrapText="1"/>
      <protection/>
    </xf>
    <xf numFmtId="0" fontId="14" fillId="0" borderId="0" xfId="58" applyFont="1" applyAlignment="1">
      <alignment horizontal="left" wrapText="1"/>
      <protection/>
    </xf>
    <xf numFmtId="0" fontId="0" fillId="0" borderId="0" xfId="58" applyFont="1" applyAlignment="1">
      <alignment horizontal="left" wrapText="1"/>
      <protection/>
    </xf>
    <xf numFmtId="0" fontId="0" fillId="0" borderId="0" xfId="58" applyAlignment="1">
      <alignment horizontal="left" vertical="top" wrapText="1"/>
      <protection/>
    </xf>
    <xf numFmtId="0" fontId="25" fillId="0" borderId="0" xfId="58" applyFont="1" applyAlignment="1">
      <alignment wrapText="1"/>
      <protection/>
    </xf>
    <xf numFmtId="0" fontId="26" fillId="0" borderId="0" xfId="58" applyFont="1" applyAlignment="1">
      <alignment wrapText="1"/>
      <protection/>
    </xf>
    <xf numFmtId="0" fontId="25" fillId="0" borderId="0" xfId="58" applyFont="1" applyAlignment="1">
      <alignment horizontal="left" wrapText="1" indent="2"/>
      <protection/>
    </xf>
    <xf numFmtId="0" fontId="25" fillId="0" borderId="0" xfId="58" applyFont="1" applyAlignment="1">
      <alignment horizontal="left" wrapText="1"/>
      <protection/>
    </xf>
    <xf numFmtId="0" fontId="2" fillId="0" borderId="20" xfId="58" applyFont="1" applyBorder="1" applyAlignment="1">
      <alignment horizontal="center" wrapText="1"/>
      <protection/>
    </xf>
    <xf numFmtId="0" fontId="2" fillId="0" borderId="21" xfId="58" applyFont="1" applyBorder="1" applyAlignment="1">
      <alignment horizontal="center" wrapText="1"/>
      <protection/>
    </xf>
    <xf numFmtId="0" fontId="2" fillId="0" borderId="22" xfId="58" applyFont="1" applyBorder="1" applyAlignment="1">
      <alignment horizontal="center" wrapText="1"/>
      <protection/>
    </xf>
    <xf numFmtId="0" fontId="2" fillId="0" borderId="14" xfId="58" applyFont="1" applyBorder="1" applyAlignment="1">
      <alignment horizontal="center" wrapText="1"/>
      <protection/>
    </xf>
    <xf numFmtId="0" fontId="2" fillId="0" borderId="15" xfId="58" applyFont="1" applyBorder="1" applyAlignment="1">
      <alignment horizontal="center" wrapText="1"/>
      <protection/>
    </xf>
    <xf numFmtId="0" fontId="2" fillId="0" borderId="77" xfId="58" applyFont="1" applyBorder="1" applyAlignment="1">
      <alignment wrapText="1"/>
      <protection/>
    </xf>
    <xf numFmtId="0" fontId="2" fillId="0" borderId="25" xfId="58" applyFont="1" applyBorder="1" applyAlignment="1">
      <alignment horizontal="center" wrapText="1"/>
      <protection/>
    </xf>
    <xf numFmtId="0" fontId="2" fillId="0" borderId="60" xfId="58" applyFont="1" applyBorder="1" applyAlignment="1">
      <alignment horizontal="center" wrapText="1"/>
      <protection/>
    </xf>
    <xf numFmtId="0" fontId="2" fillId="0" borderId="77" xfId="58" applyFont="1" applyBorder="1" applyAlignment="1">
      <alignment horizontal="center" wrapText="1"/>
      <protection/>
    </xf>
    <xf numFmtId="166" fontId="2" fillId="0" borderId="52" xfId="58" applyNumberFormat="1" applyFont="1" applyBorder="1" applyAlignment="1">
      <alignment horizontal="center" wrapText="1"/>
      <protection/>
    </xf>
    <xf numFmtId="0" fontId="0" fillId="0" borderId="49" xfId="58" applyBorder="1" applyAlignment="1">
      <alignment wrapText="1"/>
      <protection/>
    </xf>
    <xf numFmtId="164" fontId="2" fillId="0" borderId="29" xfId="58" applyNumberFormat="1" applyFont="1" applyBorder="1" applyAlignment="1">
      <alignment horizontal="center" wrapText="1"/>
      <protection/>
    </xf>
    <xf numFmtId="164" fontId="2" fillId="0" borderId="51" xfId="58" applyNumberFormat="1" applyFont="1" applyBorder="1" applyAlignment="1">
      <alignment horizontal="center" wrapText="1"/>
      <protection/>
    </xf>
    <xf numFmtId="166" fontId="2" fillId="0" borderId="20" xfId="58" applyNumberFormat="1" applyFont="1" applyBorder="1" applyAlignment="1">
      <alignment horizontal="center" wrapText="1"/>
      <protection/>
    </xf>
    <xf numFmtId="0" fontId="0" fillId="0" borderId="21" xfId="58" applyBorder="1" applyAlignment="1">
      <alignment horizontal="center" wrapText="1"/>
      <protection/>
    </xf>
    <xf numFmtId="0" fontId="0" fillId="0" borderId="22" xfId="58" applyBorder="1" applyAlignment="1">
      <alignment horizontal="center" wrapText="1"/>
      <protection/>
    </xf>
    <xf numFmtId="166" fontId="2" fillId="0" borderId="0" xfId="58" applyNumberFormat="1" applyFont="1" applyFill="1" applyBorder="1" applyAlignment="1">
      <alignment horizontal="center" wrapText="1"/>
      <protection/>
    </xf>
    <xf numFmtId="0" fontId="0" fillId="0" borderId="0" xfId="58" applyFill="1" applyBorder="1" applyAlignment="1">
      <alignment horizontal="center" wrapText="1"/>
      <protection/>
    </xf>
    <xf numFmtId="166" fontId="2" fillId="0" borderId="29" xfId="58" applyNumberFormat="1" applyFont="1" applyBorder="1" applyAlignment="1">
      <alignment horizontal="center" wrapText="1"/>
      <protection/>
    </xf>
    <xf numFmtId="0" fontId="0" fillId="0" borderId="29" xfId="58" applyBorder="1" applyAlignment="1">
      <alignment wrapText="1"/>
      <protection/>
    </xf>
    <xf numFmtId="164" fontId="2" fillId="38" borderId="20" xfId="58" applyNumberFormat="1" applyFont="1" applyFill="1" applyBorder="1" applyAlignment="1">
      <alignment horizontal="center" wrapText="1"/>
      <protection/>
    </xf>
    <xf numFmtId="164" fontId="2" fillId="38" borderId="21" xfId="58" applyNumberFormat="1" applyFont="1" applyFill="1" applyBorder="1" applyAlignment="1">
      <alignment horizontal="center" wrapText="1"/>
      <protection/>
    </xf>
    <xf numFmtId="0" fontId="0" fillId="38" borderId="22" xfId="58" applyFill="1" applyBorder="1" applyAlignment="1">
      <alignment wrapText="1"/>
      <protection/>
    </xf>
    <xf numFmtId="166" fontId="2" fillId="39" borderId="20" xfId="58" applyNumberFormat="1" applyFont="1" applyFill="1" applyBorder="1" applyAlignment="1">
      <alignment horizontal="center" wrapText="1"/>
      <protection/>
    </xf>
    <xf numFmtId="0" fontId="0" fillId="39" borderId="21" xfId="58" applyFill="1" applyBorder="1" applyAlignment="1">
      <alignment wrapText="1"/>
      <protection/>
    </xf>
    <xf numFmtId="0" fontId="0" fillId="39" borderId="22" xfId="58" applyFill="1" applyBorder="1" applyAlignment="1">
      <alignment wrapText="1"/>
      <protection/>
    </xf>
    <xf numFmtId="3" fontId="2" fillId="38" borderId="14" xfId="58" applyNumberFormat="1" applyFont="1" applyFill="1" applyBorder="1" applyAlignment="1">
      <alignment horizontal="center" wrapText="1"/>
      <protection/>
    </xf>
    <xf numFmtId="3" fontId="2" fillId="38" borderId="15" xfId="58" applyNumberFormat="1" applyFont="1" applyFill="1" applyBorder="1" applyAlignment="1">
      <alignment horizontal="center" wrapText="1"/>
      <protection/>
    </xf>
    <xf numFmtId="3" fontId="0" fillId="38" borderId="15" xfId="58" applyNumberFormat="1" applyFill="1" applyBorder="1" applyAlignment="1">
      <alignment wrapText="1"/>
      <protection/>
    </xf>
    <xf numFmtId="3" fontId="0" fillId="38" borderId="25" xfId="58" applyNumberFormat="1" applyFill="1" applyBorder="1" applyAlignment="1">
      <alignment wrapText="1"/>
      <protection/>
    </xf>
    <xf numFmtId="0" fontId="2" fillId="39" borderId="20" xfId="58" applyFont="1" applyFill="1" applyBorder="1" applyAlignment="1">
      <alignment horizontal="center" wrapText="1"/>
      <protection/>
    </xf>
    <xf numFmtId="0" fontId="2" fillId="39" borderId="21" xfId="58" applyFont="1" applyFill="1" applyBorder="1" applyAlignment="1">
      <alignment wrapText="1"/>
      <protection/>
    </xf>
    <xf numFmtId="0" fontId="2" fillId="39" borderId="22" xfId="58" applyFont="1" applyFill="1" applyBorder="1" applyAlignment="1">
      <alignment wrapText="1"/>
      <protection/>
    </xf>
    <xf numFmtId="164" fontId="2" fillId="0" borderId="0" xfId="58" applyNumberFormat="1" applyFont="1" applyBorder="1" applyAlignment="1">
      <alignment horizontal="center" wrapText="1"/>
      <protection/>
    </xf>
    <xf numFmtId="166" fontId="0" fillId="0" borderId="0" xfId="58" applyNumberFormat="1" applyAlignment="1">
      <alignment wrapText="1"/>
      <protection/>
    </xf>
    <xf numFmtId="0" fontId="2" fillId="0" borderId="0" xfId="58" applyFont="1" applyAlignment="1">
      <alignment wrapText="1"/>
      <protection/>
    </xf>
    <xf numFmtId="0" fontId="0" fillId="0" borderId="52" xfId="58" applyBorder="1" applyAlignment="1">
      <alignment/>
      <protection/>
    </xf>
    <xf numFmtId="0" fontId="0" fillId="0" borderId="51" xfId="58" applyBorder="1" applyAlignment="1">
      <alignment/>
      <protection/>
    </xf>
    <xf numFmtId="0" fontId="0" fillId="0" borderId="49" xfId="58" applyBorder="1" applyAlignment="1">
      <alignment/>
      <protection/>
    </xf>
    <xf numFmtId="166" fontId="0" fillId="38" borderId="20" xfId="58" applyNumberFormat="1" applyFill="1" applyBorder="1" applyAlignment="1">
      <alignment/>
      <protection/>
    </xf>
    <xf numFmtId="0" fontId="0" fillId="0" borderId="22" xfId="58" applyBorder="1" applyAlignment="1">
      <alignment/>
      <protection/>
    </xf>
    <xf numFmtId="166" fontId="30" fillId="0" borderId="38" xfId="58" applyNumberFormat="1" applyFont="1" applyBorder="1" applyAlignment="1">
      <alignment wrapText="1"/>
      <protection/>
    </xf>
    <xf numFmtId="0" fontId="0" fillId="0" borderId="38" xfId="58" applyBorder="1" applyAlignment="1">
      <alignment wrapText="1"/>
      <protection/>
    </xf>
    <xf numFmtId="166" fontId="0" fillId="0" borderId="52" xfId="58" applyNumberFormat="1" applyBorder="1" applyAlignment="1">
      <alignment/>
      <protection/>
    </xf>
    <xf numFmtId="166" fontId="0" fillId="0" borderId="51" xfId="58" applyNumberFormat="1" applyBorder="1" applyAlignment="1">
      <alignment/>
      <protection/>
    </xf>
    <xf numFmtId="166" fontId="0" fillId="0" borderId="49" xfId="58" applyNumberFormat="1" applyBorder="1" applyAlignment="1">
      <alignment/>
      <protection/>
    </xf>
    <xf numFmtId="166" fontId="0" fillId="0" borderId="29" xfId="58" applyNumberFormat="1" applyBorder="1" applyAlignment="1">
      <alignment wrapText="1"/>
      <protection/>
    </xf>
    <xf numFmtId="0" fontId="0" fillId="0" borderId="29" xfId="58" applyBorder="1" applyAlignment="1">
      <alignment/>
      <protection/>
    </xf>
    <xf numFmtId="0" fontId="0" fillId="0" borderId="20" xfId="58" applyBorder="1" applyAlignment="1">
      <alignment/>
      <protection/>
    </xf>
    <xf numFmtId="0" fontId="0" fillId="0" borderId="21" xfId="58" applyBorder="1" applyAlignment="1">
      <alignment/>
      <protection/>
    </xf>
    <xf numFmtId="0" fontId="0" fillId="0" borderId="86" xfId="58" applyBorder="1" applyAlignment="1">
      <alignment/>
      <protection/>
    </xf>
    <xf numFmtId="0" fontId="0" fillId="0" borderId="96" xfId="58" applyBorder="1" applyAlignment="1">
      <alignment/>
      <protection/>
    </xf>
    <xf numFmtId="0" fontId="0" fillId="0" borderId="0" xfId="58" applyFill="1" applyBorder="1" applyAlignment="1">
      <alignment wrapText="1"/>
      <protection/>
    </xf>
    <xf numFmtId="0" fontId="0" fillId="37" borderId="0" xfId="58" applyFill="1" applyBorder="1" applyAlignment="1">
      <alignment wrapText="1"/>
      <protection/>
    </xf>
    <xf numFmtId="0" fontId="0" fillId="36" borderId="20" xfId="0" applyFill="1" applyBorder="1" applyAlignment="1">
      <alignment wrapText="1"/>
    </xf>
    <xf numFmtId="0" fontId="0" fillId="36" borderId="21" xfId="0" applyFill="1" applyBorder="1" applyAlignment="1">
      <alignment wrapText="1"/>
    </xf>
    <xf numFmtId="0" fontId="0" fillId="36" borderId="22"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2" fillId="0" borderId="73" xfId="0" applyFont="1" applyBorder="1" applyAlignment="1">
      <alignment vertical="top" wrapText="1"/>
    </xf>
    <xf numFmtId="0" fontId="2" fillId="0" borderId="72" xfId="0" applyFont="1" applyBorder="1" applyAlignment="1">
      <alignment vertical="top" wrapText="1"/>
    </xf>
    <xf numFmtId="0" fontId="2" fillId="0" borderId="71" xfId="0" applyFont="1" applyBorder="1" applyAlignment="1">
      <alignment vertical="top" wrapText="1"/>
    </xf>
    <xf numFmtId="0" fontId="0" fillId="37" borderId="20" xfId="0" applyFill="1" applyBorder="1" applyAlignment="1">
      <alignment wrapText="1"/>
    </xf>
    <xf numFmtId="0" fontId="0" fillId="37" borderId="21" xfId="0" applyFill="1" applyBorder="1" applyAlignment="1">
      <alignment wrapText="1"/>
    </xf>
    <xf numFmtId="0" fontId="0" fillId="37" borderId="22" xfId="0" applyFill="1" applyBorder="1" applyAlignment="1">
      <alignment wrapText="1"/>
    </xf>
    <xf numFmtId="0" fontId="0" fillId="0" borderId="11" xfId="0" applyFill="1" applyBorder="1" applyAlignment="1">
      <alignment wrapText="1"/>
    </xf>
    <xf numFmtId="0" fontId="0" fillId="0" borderId="12" xfId="0" applyFill="1" applyBorder="1" applyAlignment="1">
      <alignmen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2" fillId="0" borderId="43" xfId="0" applyFont="1" applyBorder="1" applyAlignment="1">
      <alignment horizontal="center" vertical="top" wrapText="1"/>
    </xf>
    <xf numFmtId="0" fontId="2" fillId="0" borderId="76" xfId="0" applyFont="1" applyBorder="1" applyAlignment="1">
      <alignment horizontal="center" vertical="top" wrapText="1"/>
    </xf>
    <xf numFmtId="0" fontId="2" fillId="0" borderId="75" xfId="0" applyFont="1" applyBorder="1" applyAlignment="1">
      <alignment horizontal="center" vertical="top" wrapText="1"/>
    </xf>
    <xf numFmtId="0" fontId="2" fillId="0" borderId="20" xfId="58" applyFont="1" applyBorder="1" applyAlignment="1">
      <alignment wrapText="1"/>
      <protection/>
    </xf>
    <xf numFmtId="0" fontId="0" fillId="0" borderId="21" xfId="58" applyBorder="1" applyAlignment="1">
      <alignment wrapText="1"/>
      <protection/>
    </xf>
    <xf numFmtId="0" fontId="0" fillId="0" borderId="22" xfId="58" applyBorder="1" applyAlignment="1">
      <alignment wrapText="1"/>
      <protection/>
    </xf>
    <xf numFmtId="0" fontId="0" fillId="0" borderId="11" xfId="58" applyFill="1" applyBorder="1" applyAlignment="1">
      <alignment wrapText="1"/>
      <protection/>
    </xf>
    <xf numFmtId="0" fontId="0" fillId="0" borderId="12" xfId="58" applyFill="1" applyBorder="1" applyAlignment="1">
      <alignment wrapText="1"/>
      <protection/>
    </xf>
    <xf numFmtId="0" fontId="0" fillId="0" borderId="0" xfId="58" applyFill="1" applyAlignment="1">
      <alignment wrapText="1"/>
      <protection/>
    </xf>
    <xf numFmtId="0" fontId="0" fillId="35" borderId="20" xfId="0" applyFont="1" applyFill="1" applyBorder="1" applyAlignment="1">
      <alignment horizontal="left" wrapText="1"/>
    </xf>
    <xf numFmtId="0" fontId="0" fillId="35" borderId="21" xfId="0" applyFont="1" applyFill="1" applyBorder="1" applyAlignment="1">
      <alignment horizontal="left" wrapText="1"/>
    </xf>
    <xf numFmtId="0" fontId="0" fillId="35" borderId="22" xfId="0" applyFont="1" applyFill="1" applyBorder="1" applyAlignment="1">
      <alignment horizontal="lef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0" borderId="0" xfId="0" applyFill="1" applyAlignment="1">
      <alignment wrapText="1"/>
    </xf>
    <xf numFmtId="0" fontId="0" fillId="0" borderId="0" xfId="0" applyBorder="1" applyAlignment="1">
      <alignment wrapText="1"/>
    </xf>
    <xf numFmtId="0" fontId="2" fillId="0" borderId="41" xfId="0" applyFont="1" applyBorder="1" applyAlignment="1">
      <alignment vertical="top" wrapText="1"/>
    </xf>
    <xf numFmtId="0" fontId="2" fillId="0" borderId="69" xfId="0" applyFont="1" applyBorder="1" applyAlignment="1">
      <alignment vertical="top" wrapText="1"/>
    </xf>
    <xf numFmtId="0" fontId="2" fillId="0" borderId="68" xfId="0" applyFont="1" applyBorder="1" applyAlignment="1">
      <alignment vertical="top" wrapText="1"/>
    </xf>
    <xf numFmtId="3" fontId="0" fillId="0" borderId="20" xfId="0" applyNumberFormat="1" applyBorder="1" applyAlignment="1">
      <alignment horizontal="right" wrapText="1"/>
    </xf>
    <xf numFmtId="3" fontId="0" fillId="0" borderId="22" xfId="0" applyNumberFormat="1" applyBorder="1" applyAlignment="1">
      <alignment horizontal="right" wrapText="1"/>
    </xf>
    <xf numFmtId="0" fontId="10" fillId="0" borderId="20" xfId="54" applyFont="1" applyBorder="1" applyAlignment="1" applyProtection="1">
      <alignment wrapText="1"/>
      <protection/>
    </xf>
    <xf numFmtId="0" fontId="10" fillId="0" borderId="22" xfId="54" applyFont="1" applyBorder="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ch02WARM" xfId="59"/>
    <cellStyle name="Normal_schoolsGHG" xfId="60"/>
    <cellStyle name="Note" xfId="61"/>
    <cellStyle name="Output" xfId="62"/>
    <cellStyle name="Percent" xfId="63"/>
    <cellStyle name="Title" xfId="64"/>
    <cellStyle name="Total" xfId="65"/>
    <cellStyle name="Warning Text" xfId="66"/>
  </cellStyles>
  <dxfs count="1">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 Id="rId2" Type="http://schemas.openxmlformats.org/officeDocument/2006/relationships/image" Target="../media/image9.jpeg" /><Relationship Id="rId3" Type="http://schemas.openxmlformats.org/officeDocument/2006/relationships/image" Target="../media/image10.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Classroom Devices Equivalent CO2e Emissions: 
</a:t>
            </a:r>
            <a:r>
              <a:rPr lang="en-US" cap="none" sz="1200" b="1" i="0" u="none" baseline="0">
                <a:solidFill>
                  <a:srgbClr val="000000"/>
                </a:solidFill>
                <a:latin typeface="Arial"/>
                <a:ea typeface="Arial"/>
                <a:cs typeface="Arial"/>
              </a:rPr>
              <a:t>Alkaline Batteries (lbs, %)</a:t>
            </a:r>
          </a:p>
        </c:rich>
      </c:tx>
      <c:layout>
        <c:manualLayout>
          <c:xMode val="factor"/>
          <c:yMode val="factor"/>
          <c:x val="0.05"/>
          <c:y val="0"/>
        </c:manualLayout>
      </c:layout>
      <c:spPr>
        <a:noFill/>
        <a:ln>
          <a:noFill/>
        </a:ln>
      </c:spPr>
    </c:title>
    <c:view3D>
      <c:rotX val="15"/>
      <c:hPercent val="100"/>
      <c:rotY val="0"/>
      <c:depthPercent val="100"/>
      <c:rAngAx val="1"/>
    </c:view3D>
    <c:plotArea>
      <c:layout>
        <c:manualLayout>
          <c:xMode val="edge"/>
          <c:yMode val="edge"/>
          <c:x val="0.25675"/>
          <c:y val="0.59325"/>
          <c:w val="0.48225"/>
          <c:h val="0.25625"/>
        </c:manualLayout>
      </c:layout>
      <c:pie3DChart>
        <c:varyColors val="1"/>
        <c:ser>
          <c:idx val="0"/>
          <c:order val="0"/>
          <c:spPr>
            <a:solidFill>
              <a:srgbClr val="9999FF"/>
            </a:solidFill>
            <a:ln w="12700">
              <a:solidFill>
                <a:srgbClr val="000000"/>
              </a:solidFill>
            </a:ln>
          </c:spPr>
          <c:explosion val="23"/>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explosion val="97"/>
            <c:spPr>
              <a:solidFill>
                <a:srgbClr val="660066"/>
              </a:solidFill>
              <a:ln w="12700">
                <a:solidFill>
                  <a:srgbClr val="000000"/>
                </a:solidFill>
              </a:ln>
            </c:spPr>
          </c:dPt>
          <c:dPt>
            <c:idx val="5"/>
            <c:spPr>
              <a:solidFill>
                <a:srgbClr val="FF8080"/>
              </a:solidFill>
              <a:ln w="12700">
                <a:solidFill>
                  <a:srgbClr val="000000"/>
                </a:solidFill>
              </a:ln>
            </c:spPr>
          </c:dPt>
          <c:dLbls>
            <c:dLbl>
              <c:idx val="0"/>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1"/>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2"/>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1"/>
            <c:showSerName val="0"/>
            <c:showLeaderLines val="1"/>
            <c:showPercent val="0"/>
          </c:dLbls>
          <c:cat>
            <c:strRef>
              <c:f>'Battery Findings'!$A$7:$A$22</c:f>
              <c:strCache/>
            </c:strRef>
          </c:cat>
          <c:val>
            <c:numRef>
              <c:f>'Battery Findings'!$H$7:$H$22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Classroom: Weight of Plastic Consumed</a:t>
            </a:r>
          </a:p>
        </c:rich>
      </c:tx>
      <c:layout>
        <c:manualLayout>
          <c:xMode val="factor"/>
          <c:yMode val="factor"/>
          <c:x val="-0.0045"/>
          <c:y val="-0.01025"/>
        </c:manualLayout>
      </c:layout>
      <c:spPr>
        <a:noFill/>
        <a:ln>
          <a:noFill/>
        </a:ln>
      </c:spPr>
    </c:title>
    <c:plotArea>
      <c:layout>
        <c:manualLayout>
          <c:xMode val="edge"/>
          <c:yMode val="edge"/>
          <c:x val="0.0815"/>
          <c:y val="0.213"/>
          <c:w val="0.54"/>
          <c:h val="0.702"/>
        </c:manualLayout>
      </c:layout>
      <c:barChart>
        <c:barDir val="col"/>
        <c:grouping val="stacked"/>
        <c:varyColors val="0"/>
        <c:ser>
          <c:idx val="0"/>
          <c:order val="0"/>
          <c:tx>
            <c:strRef>
              <c:f>'Zero Waste Findings'!$B$91</c:f>
              <c:strCache>
                <c:ptCount val="1"/>
                <c:pt idx="0">
                  <c:v>Total Plastic Weight (school 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Findings'!$B$92:$B$93</c:f>
              <c:numCache/>
            </c:numRef>
          </c:val>
        </c:ser>
        <c:ser>
          <c:idx val="1"/>
          <c:order val="1"/>
          <c:tx>
            <c:strRef>
              <c:f>'Zero Waste Findings'!$C$91</c:f>
              <c:strCache>
                <c:ptCount val="1"/>
                <c:pt idx="0">
                  <c:v>Plastic Resources Saved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Findings'!$C$92:$C$93</c:f>
              <c:numCache/>
            </c:numRef>
          </c:val>
        </c:ser>
        <c:overlap val="100"/>
        <c:gapWidth val="300"/>
        <c:axId val="18469191"/>
        <c:axId val="32004992"/>
      </c:barChart>
      <c:catAx>
        <c:axId val="18469191"/>
        <c:scaling>
          <c:orientation val="minMax"/>
        </c:scaling>
        <c:axPos val="b"/>
        <c:delete val="0"/>
        <c:numFmt formatCode="General" sourceLinked="1"/>
        <c:majorTickMark val="none"/>
        <c:minorTickMark val="none"/>
        <c:tickLblPos val="nextTo"/>
        <c:spPr>
          <a:ln w="3175">
            <a:solidFill>
              <a:srgbClr val="808080"/>
            </a:solidFill>
          </a:ln>
        </c:spPr>
        <c:crossAx val="32004992"/>
        <c:crosses val="autoZero"/>
        <c:auto val="1"/>
        <c:lblOffset val="100"/>
        <c:tickLblSkip val="1"/>
        <c:noMultiLvlLbl val="0"/>
      </c:catAx>
      <c:valAx>
        <c:axId val="32004992"/>
        <c:scaling>
          <c:orientation val="minMax"/>
        </c:scaling>
        <c:axPos val="l"/>
        <c:title>
          <c:tx>
            <c:rich>
              <a:bodyPr vert="horz" rot="-5400000" anchor="ctr"/>
              <a:lstStyle/>
              <a:p>
                <a:pPr algn="ctr">
                  <a:defRPr/>
                </a:pPr>
                <a:r>
                  <a:rPr lang="en-US" cap="none" sz="1000" b="1" i="0" u="none" baseline="0">
                    <a:solidFill>
                      <a:srgbClr val="000000"/>
                    </a:solidFill>
                  </a:rPr>
                  <a:t>Total Plastic Weight (lb/year)sch</a:t>
                </a:r>
              </a:p>
            </c:rich>
          </c:tx>
          <c:layout>
            <c:manualLayout>
              <c:xMode val="factor"/>
              <c:yMode val="factor"/>
              <c:x val="-0.00625"/>
              <c:y val="-0.055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69191"/>
        <c:crossesAt val="1"/>
        <c:crossBetween val="between"/>
        <c:dispUnits/>
      </c:valAx>
      <c:spPr>
        <a:solidFill>
          <a:srgbClr val="FFFFFF"/>
        </a:solidFill>
        <a:ln w="3175">
          <a:noFill/>
        </a:ln>
      </c:spPr>
    </c:plotArea>
    <c:legend>
      <c:legendPos val="r"/>
      <c:layout>
        <c:manualLayout>
          <c:xMode val="edge"/>
          <c:yMode val="edge"/>
          <c:x val="0.65475"/>
          <c:y val="0.54925"/>
          <c:w val="0.334"/>
          <c:h val="0.26775"/>
        </c:manualLayout>
      </c:layout>
      <c:overlay val="0"/>
      <c:spPr>
        <a:no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Classroom: GHG Emissions From Production and Disposal of Plastics</a:t>
            </a:r>
          </a:p>
        </c:rich>
      </c:tx>
      <c:layout>
        <c:manualLayout>
          <c:xMode val="factor"/>
          <c:yMode val="factor"/>
          <c:x val="-0.0025"/>
          <c:y val="-0.01025"/>
        </c:manualLayout>
      </c:layout>
      <c:spPr>
        <a:noFill/>
        <a:ln>
          <a:noFill/>
        </a:ln>
      </c:spPr>
    </c:title>
    <c:plotArea>
      <c:layout>
        <c:manualLayout>
          <c:xMode val="edge"/>
          <c:yMode val="edge"/>
          <c:x val="0.0915"/>
          <c:y val="0.2535"/>
          <c:w val="0.5175"/>
          <c:h val="0.7195"/>
        </c:manualLayout>
      </c:layout>
      <c:barChart>
        <c:barDir val="col"/>
        <c:grouping val="stacked"/>
        <c:varyColors val="0"/>
        <c:ser>
          <c:idx val="0"/>
          <c:order val="0"/>
          <c:tx>
            <c:strRef>
              <c:f>'Zero Waste Findings'!$D$91</c:f>
              <c:strCache>
                <c:ptCount val="1"/>
                <c:pt idx="0">
                  <c:v>CO2e Emissions related to Production &amp; Disposal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Findings'!$D$92:$D$93</c:f>
              <c:numCache/>
            </c:numRef>
          </c:val>
        </c:ser>
        <c:ser>
          <c:idx val="1"/>
          <c:order val="1"/>
          <c:tx>
            <c:strRef>
              <c:f>'Zero Waste Findings'!$E$91</c:f>
              <c:strCache>
                <c:ptCount val="1"/>
                <c:pt idx="0">
                  <c:v>Avoided CO2e Emissions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'Zero Waste Findings'!$A$92:$A$93</c:f>
              <c:strCache/>
            </c:strRef>
          </c:cat>
          <c:val>
            <c:numRef>
              <c:f>'Zero Waste Findings'!$E$92:$E$93</c:f>
              <c:numCache/>
            </c:numRef>
          </c:val>
        </c:ser>
        <c:overlap val="100"/>
        <c:gapWidth val="300"/>
        <c:axId val="19609473"/>
        <c:axId val="42267530"/>
      </c:barChart>
      <c:catAx>
        <c:axId val="19609473"/>
        <c:scaling>
          <c:orientation val="minMax"/>
        </c:scaling>
        <c:axPos val="b"/>
        <c:delete val="0"/>
        <c:numFmt formatCode="General" sourceLinked="1"/>
        <c:majorTickMark val="none"/>
        <c:minorTickMark val="none"/>
        <c:tickLblPos val="nextTo"/>
        <c:spPr>
          <a:ln w="3175">
            <a:solidFill>
              <a:srgbClr val="808080"/>
            </a:solidFill>
          </a:ln>
        </c:spPr>
        <c:crossAx val="42267530"/>
        <c:crosses val="autoZero"/>
        <c:auto val="1"/>
        <c:lblOffset val="100"/>
        <c:tickLblSkip val="1"/>
        <c:noMultiLvlLbl val="0"/>
      </c:catAx>
      <c:valAx>
        <c:axId val="42267530"/>
        <c:scaling>
          <c:orientation val="minMax"/>
        </c:scaling>
        <c:axPos val="l"/>
        <c:title>
          <c:tx>
            <c:rich>
              <a:bodyPr vert="horz" rot="-5400000" anchor="ctr"/>
              <a:lstStyle/>
              <a:p>
                <a:pPr algn="ctr">
                  <a:defRPr/>
                </a:pPr>
                <a:r>
                  <a:rPr lang="en-US" cap="none" sz="1000" b="1" i="0" u="none" baseline="0">
                    <a:solidFill>
                      <a:srgbClr val="000000"/>
                    </a:solidFill>
                  </a:rPr>
                  <a:t>GHG emissions CO2e lb/year)</a:t>
                </a:r>
              </a:p>
            </c:rich>
          </c:tx>
          <c:layout>
            <c:manualLayout>
              <c:xMode val="factor"/>
              <c:yMode val="factor"/>
              <c:x val="-0.00225"/>
              <c:y val="-0.03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09473"/>
        <c:crossesAt val="1"/>
        <c:crossBetween val="between"/>
        <c:dispUnits/>
      </c:valAx>
      <c:spPr>
        <a:solidFill>
          <a:srgbClr val="FFFFFF"/>
        </a:solidFill>
        <a:ln w="3175">
          <a:noFill/>
        </a:ln>
      </c:spPr>
    </c:plotArea>
    <c:legend>
      <c:legendPos val="r"/>
      <c:layout>
        <c:manualLayout>
          <c:xMode val="edge"/>
          <c:yMode val="edge"/>
          <c:x val="0.651"/>
          <c:y val="0.52875"/>
          <c:w val="0.3365"/>
          <c:h val="0.376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Comparison of CO2e Emission: 
</a:t>
            </a:r>
            <a:r>
              <a:rPr lang="en-US" cap="none" sz="1425" b="1" i="0" u="none" baseline="0">
                <a:solidFill>
                  <a:srgbClr val="000000"/>
                </a:solidFill>
                <a:latin typeface="Arial"/>
                <a:ea typeface="Arial"/>
                <a:cs typeface="Arial"/>
              </a:rPr>
              <a:t>Alkaline vs. NiMH Rechargable Battery</a:t>
            </a:r>
          </a:p>
        </c:rich>
      </c:tx>
      <c:layout>
        <c:manualLayout>
          <c:xMode val="factor"/>
          <c:yMode val="factor"/>
          <c:x val="-0.1085"/>
          <c:y val="0.00275"/>
        </c:manualLayout>
      </c:layout>
      <c:spPr>
        <a:noFill/>
        <a:ln>
          <a:noFill/>
        </a:ln>
      </c:spPr>
    </c:title>
    <c:plotArea>
      <c:layout>
        <c:manualLayout>
          <c:xMode val="edge"/>
          <c:yMode val="edge"/>
          <c:x val="0.071"/>
          <c:y val="0.28725"/>
          <c:w val="0.67"/>
          <c:h val="0.685"/>
        </c:manualLayout>
      </c:layout>
      <c:barChart>
        <c:barDir val="col"/>
        <c:grouping val="stacked"/>
        <c:varyColors val="0"/>
        <c:ser>
          <c:idx val="0"/>
          <c:order val="0"/>
          <c:tx>
            <c:strRef>
              <c:f>'Battery Findings'!$Q$7</c:f>
              <c:strCache>
                <c:ptCount val="1"/>
                <c:pt idx="0">
                  <c:v>flashlight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Findings'!$R$7:$S$7</c:f>
              <c:numCache/>
            </c:numRef>
          </c:val>
        </c:ser>
        <c:ser>
          <c:idx val="1"/>
          <c:order val="1"/>
          <c:tx>
            <c:strRef>
              <c:f>'Battery Findings'!$Q$8</c:f>
              <c:strCache>
                <c:ptCount val="1"/>
                <c:pt idx="0">
                  <c:v>radio control car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Findings'!$R$8:$S$8</c:f>
              <c:numCache/>
            </c:numRef>
          </c:val>
        </c:ser>
        <c:ser>
          <c:idx val="2"/>
          <c:order val="2"/>
          <c:tx>
            <c:strRef>
              <c:f>'Battery Findings'!$Q$9</c:f>
              <c:strCache>
                <c:ptCount val="1"/>
                <c:pt idx="0">
                  <c:v>Portable Boom Box</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Findings'!$R$9:$S$9</c:f>
              <c:numCache/>
            </c:numRef>
          </c:val>
        </c:ser>
        <c:ser>
          <c:idx val="3"/>
          <c:order val="3"/>
          <c:tx>
            <c:strRef>
              <c:f>'Battery Findings'!$Q$10</c:f>
              <c:strCache>
                <c:ptCount val="1"/>
                <c:pt idx="0">
                  <c:v>TV remote control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Findings'!$R$10:$S$10</c:f>
              <c:numCache/>
            </c:numRef>
          </c:val>
        </c:ser>
        <c:ser>
          <c:idx val="4"/>
          <c:order val="4"/>
          <c:tx>
            <c:strRef>
              <c:f>'Battery Findings'!$Q$11</c:f>
              <c:strCache>
                <c:ptCount val="1"/>
                <c:pt idx="0">
                  <c:v>Boom Box remote control</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Findings'!$R$11:$S$11</c:f>
              <c:numCache/>
            </c:numRef>
          </c:val>
        </c:ser>
        <c:ser>
          <c:idx val="5"/>
          <c:order val="5"/>
          <c:tx>
            <c:strRef>
              <c:f>'Battery Findings'!$Q$12</c:f>
              <c:strCache>
                <c:ptCount val="1"/>
                <c:pt idx="0">
                  <c:v>temp</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Findings'!$R$12:$S$12</c:f>
              <c:numCache/>
            </c:numRef>
          </c:val>
        </c:ser>
        <c:ser>
          <c:idx val="6"/>
          <c:order val="6"/>
          <c:tx>
            <c:strRef>
              <c:f>'Battery Findings'!$Q$13</c:f>
              <c:strCache>
                <c:ptCount val="1"/>
                <c:pt idx="0">
                  <c:v>0</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Findings'!$R$13:$S$13</c:f>
            </c:numRef>
          </c:val>
        </c:ser>
        <c:ser>
          <c:idx val="7"/>
          <c:order val="7"/>
          <c:tx>
            <c:strRef>
              <c:f>'Battery Findings'!$Q$14</c:f>
              <c:strCache>
                <c:ptCount val="1"/>
                <c:pt idx="0">
                  <c:v>0</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Findings'!$R$14:$S$14</c:f>
            </c:numRef>
          </c:val>
        </c:ser>
        <c:ser>
          <c:idx val="8"/>
          <c:order val="8"/>
          <c:tx>
            <c:strRef>
              <c:f>'Battery Findings'!$Q$15</c:f>
              <c:strCache>
                <c:ptCount val="1"/>
                <c:pt idx="0">
                  <c:v>0</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Findings'!$R$15:$S$15</c:f>
            </c:numRef>
          </c:val>
        </c:ser>
        <c:ser>
          <c:idx val="9"/>
          <c:order val="9"/>
          <c:tx>
            <c:strRef>
              <c:f>'Battery Findings'!$Q$16</c:f>
              <c:strCache>
                <c:ptCount val="1"/>
                <c:pt idx="0">
                  <c:v>0</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Findings'!$R$16:$S$16</c:f>
            </c:numRef>
          </c:val>
        </c:ser>
        <c:ser>
          <c:idx val="10"/>
          <c:order val="10"/>
          <c:tx>
            <c:strRef>
              <c:f>'Battery Findings'!$Q$17</c:f>
              <c:strCache>
                <c:ptCount val="1"/>
                <c:pt idx="0">
                  <c:v>0</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Findings'!$R$17:$S$17</c:f>
            </c:numRef>
          </c:val>
        </c:ser>
        <c:ser>
          <c:idx val="11"/>
          <c:order val="11"/>
          <c:tx>
            <c:strRef>
              <c:f>'Battery Findings'!$Q$18</c:f>
              <c:strCache>
                <c:ptCount val="1"/>
                <c:pt idx="0">
                  <c:v>0</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Findings'!$R$18:$S$18</c:f>
            </c:numRef>
          </c:val>
        </c:ser>
        <c:ser>
          <c:idx val="12"/>
          <c:order val="12"/>
          <c:tx>
            <c:strRef>
              <c:f>'Battery Findings'!$Q$19</c:f>
              <c:strCache>
                <c:ptCount val="1"/>
                <c:pt idx="0">
                  <c:v>0</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Findings'!$R$19:$S$19</c:f>
            </c:numRef>
          </c:val>
        </c:ser>
        <c:ser>
          <c:idx val="13"/>
          <c:order val="13"/>
          <c:tx>
            <c:strRef>
              <c:f>'Battery Findings'!$Q$20</c:f>
              <c:strCache>
                <c:ptCount val="1"/>
                <c:pt idx="0">
                  <c:v>0</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Findings'!$R$20:$S$20</c:f>
            </c:numRef>
          </c:val>
        </c:ser>
        <c:ser>
          <c:idx val="14"/>
          <c:order val="14"/>
          <c:tx>
            <c:strRef>
              <c:f>'Battery Findings'!$Q$21</c:f>
              <c:strCache>
                <c:ptCount val="1"/>
                <c:pt idx="0">
                  <c:v>0</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Findings'!$R$21:$S$21</c:f>
            </c:numRef>
          </c:val>
        </c:ser>
        <c:ser>
          <c:idx val="15"/>
          <c:order val="15"/>
          <c:tx>
            <c:strRef>
              <c:f>'Battery Findings'!$Q$22</c:f>
              <c:strCache>
                <c:ptCount val="1"/>
                <c:pt idx="0">
                  <c:v>0</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'Battery Findings'!$R$5:$S$6</c:f>
              <c:multiLvlStrCache/>
            </c:multiLvlStrRef>
          </c:cat>
          <c:val>
            <c:numRef>
              <c:f>'Battery Findings'!$R$22:$S$22</c:f>
            </c:numRef>
          </c:val>
        </c:ser>
        <c:overlap val="100"/>
        <c:axId val="54581387"/>
        <c:axId val="21470436"/>
      </c:barChart>
      <c:catAx>
        <c:axId val="545813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1470436"/>
        <c:crosses val="autoZero"/>
        <c:auto val="1"/>
        <c:lblOffset val="100"/>
        <c:tickLblSkip val="1"/>
        <c:noMultiLvlLbl val="0"/>
      </c:catAx>
      <c:valAx>
        <c:axId val="2147043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CO2e (lbs per school year)</a:t>
                </a:r>
              </a:p>
            </c:rich>
          </c:tx>
          <c:layout>
            <c:manualLayout>
              <c:xMode val="factor"/>
              <c:yMode val="factor"/>
              <c:x val="-0.00825"/>
              <c:y val="0.01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581387"/>
        <c:crossesAt val="1"/>
        <c:crossBetween val="between"/>
        <c:dispUnits/>
      </c:valAx>
      <c:spPr>
        <a:solidFill>
          <a:srgbClr val="C0C0C0"/>
        </a:solidFill>
        <a:ln w="12700">
          <a:solidFill>
            <a:srgbClr val="808080"/>
          </a:solidFill>
        </a:ln>
      </c:spPr>
    </c:plotArea>
    <c:legend>
      <c:legendPos val="r"/>
      <c:layout>
        <c:manualLayout>
          <c:xMode val="edge"/>
          <c:yMode val="edge"/>
          <c:x val="0.7775"/>
          <c:y val="0.03075"/>
          <c:w val="0.2205"/>
          <c:h val="0.96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latin typeface="Arial"/>
                <a:ea typeface="Arial"/>
                <a:cs typeface="Arial"/>
              </a:rPr>
              <a:t>Mercury Emissions 
</a:t>
            </a:r>
            <a:r>
              <a:rPr lang="en-US" cap="none" sz="1250" b="1" i="0" u="none" baseline="0">
                <a:solidFill>
                  <a:srgbClr val="000000"/>
                </a:solidFill>
                <a:latin typeface="Arial"/>
                <a:ea typeface="Arial"/>
                <a:cs typeface="Arial"/>
              </a:rPr>
              <a:t>by Light Source</a:t>
            </a:r>
          </a:p>
        </c:rich>
      </c:tx>
      <c:layout>
        <c:manualLayout>
          <c:xMode val="factor"/>
          <c:yMode val="factor"/>
          <c:x val="0.0275"/>
          <c:y val="-0.008"/>
        </c:manualLayout>
      </c:layout>
      <c:spPr>
        <a:noFill/>
        <a:ln>
          <a:noFill/>
        </a:ln>
      </c:spPr>
    </c:title>
    <c:plotArea>
      <c:layout>
        <c:manualLayout>
          <c:xMode val="edge"/>
          <c:yMode val="edge"/>
          <c:x val="0.1005"/>
          <c:y val="0.60675"/>
          <c:w val="0.5305"/>
          <c:h val="0.364"/>
        </c:manualLayout>
      </c:layout>
      <c:barChart>
        <c:barDir val="col"/>
        <c:grouping val="stacked"/>
        <c:varyColors val="0"/>
        <c:ser>
          <c:idx val="0"/>
          <c:order val="0"/>
          <c:tx>
            <c:strRef>
              <c:f>'Home Lighting Findings'!$B$105</c:f>
              <c:strCache>
                <c:ptCount val="1"/>
                <c:pt idx="0">
                  <c:v>Annual Mercury emissions from energy production (mg)</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Findings'!$B$106:$B$107</c:f>
              <c:numCache/>
            </c:numRef>
          </c:val>
        </c:ser>
        <c:ser>
          <c:idx val="1"/>
          <c:order val="1"/>
          <c:tx>
            <c:strRef>
              <c:f>'Home Lighting Findings'!$C$105</c:f>
              <c:strCache>
                <c:ptCount val="1"/>
                <c:pt idx="0">
                  <c:v>Annual Mercury release in landfills (mg)</c:v>
                </c:pt>
              </c:strCache>
            </c:strRef>
          </c:tx>
          <c:spPr>
            <a:solidFill>
              <a:srgbClr val="9EDA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Findings'!$C$106:$C$107</c:f>
              <c:numCache/>
            </c:numRef>
          </c:val>
        </c:ser>
        <c:ser>
          <c:idx val="2"/>
          <c:order val="2"/>
          <c:tx>
            <c:strRef>
              <c:f>'Home Lighting Findings'!$D$105</c:f>
              <c:strCache>
                <c:ptCount val="1"/>
                <c:pt idx="0">
                  <c:v>Avoided Emissions</c:v>
                </c:pt>
              </c:strCache>
            </c:strRef>
          </c:tx>
          <c:spPr>
            <a:solidFill>
              <a:srgbClr val="9527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'Home Lighting Findings'!$A$106:$A$107</c:f>
              <c:strCache/>
            </c:strRef>
          </c:cat>
          <c:val>
            <c:numRef>
              <c:f>'Home Lighting Findings'!$D$106:$D$107</c:f>
              <c:numCache/>
            </c:numRef>
          </c:val>
        </c:ser>
        <c:overlap val="100"/>
        <c:axId val="59016197"/>
        <c:axId val="61383726"/>
      </c:barChart>
      <c:catAx>
        <c:axId val="59016197"/>
        <c:scaling>
          <c:orientation val="minMax"/>
        </c:scaling>
        <c:axPos val="b"/>
        <c:delete val="0"/>
        <c:numFmt formatCode="General" sourceLinked="1"/>
        <c:majorTickMark val="out"/>
        <c:minorTickMark val="none"/>
        <c:tickLblPos val="nextTo"/>
        <c:spPr>
          <a:ln w="3175">
            <a:solidFill>
              <a:srgbClr val="000000"/>
            </a:solidFill>
          </a:ln>
        </c:spPr>
        <c:crossAx val="61383726"/>
        <c:crosses val="autoZero"/>
        <c:auto val="1"/>
        <c:lblOffset val="100"/>
        <c:tickLblSkip val="1"/>
        <c:noMultiLvlLbl val="0"/>
      </c:catAx>
      <c:valAx>
        <c:axId val="61383726"/>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Mercury (mg)</a:t>
                </a:r>
              </a:p>
            </c:rich>
          </c:tx>
          <c:layout>
            <c:manualLayout>
              <c:xMode val="factor"/>
              <c:yMode val="factor"/>
              <c:x val="-0.0105"/>
              <c:y val="0.17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16197"/>
        <c:crossesAt val="1"/>
        <c:crossBetween val="between"/>
        <c:dispUnits/>
      </c:valAx>
      <c:spPr>
        <a:solidFill>
          <a:srgbClr val="C0C0C0"/>
        </a:solidFill>
        <a:ln w="12700">
          <a:solidFill>
            <a:srgbClr val="808080"/>
          </a:solidFill>
        </a:ln>
      </c:spPr>
    </c:plotArea>
    <c:legend>
      <c:legendPos val="r"/>
      <c:layout>
        <c:manualLayout>
          <c:xMode val="edge"/>
          <c:yMode val="edge"/>
          <c:x val="0.6215"/>
          <c:y val="0.375"/>
          <c:w val="0.3785"/>
          <c:h val="0.625"/>
        </c:manualLayout>
      </c:layout>
      <c:overlay val="0"/>
      <c:spPr>
        <a:solidFill>
          <a:srgbClr val="FFFFFF"/>
        </a:solidFill>
        <a:ln w="3175">
          <a:solidFill>
            <a:srgbClr val="000000"/>
          </a:solidFill>
        </a:ln>
      </c:spPr>
      <c:txPr>
        <a:bodyPr vert="horz" rot="0"/>
        <a:lstStyle/>
        <a:p>
          <a:pPr>
            <a:defRPr lang="en-US" cap="none" sz="8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 Amount of Water polluted beyond safe levels for drinking 
</a:t>
            </a:r>
            <a:r>
              <a:rPr lang="en-US" cap="none" sz="1300" b="1" i="0" u="none" baseline="0">
                <a:solidFill>
                  <a:srgbClr val="000000"/>
                </a:solidFill>
                <a:latin typeface="Arial"/>
                <a:ea typeface="Arial"/>
                <a:cs typeface="Arial"/>
              </a:rPr>
              <a:t>(in bathtubs)</a:t>
            </a:r>
          </a:p>
        </c:rich>
      </c:tx>
      <c:layout>
        <c:manualLayout>
          <c:xMode val="factor"/>
          <c:yMode val="factor"/>
          <c:x val="0.02375"/>
          <c:y val="-0.00925"/>
        </c:manualLayout>
      </c:layout>
      <c:spPr>
        <a:noFill/>
        <a:ln>
          <a:noFill/>
        </a:ln>
      </c:spPr>
    </c:title>
    <c:plotArea>
      <c:layout>
        <c:manualLayout>
          <c:xMode val="edge"/>
          <c:yMode val="edge"/>
          <c:x val="0.21025"/>
          <c:y val="0.30925"/>
          <c:w val="0.7605"/>
          <c:h val="0.651"/>
        </c:manualLayout>
      </c:layout>
      <c:barChart>
        <c:barDir val="col"/>
        <c:grouping val="clustered"/>
        <c:varyColors val="0"/>
        <c:ser>
          <c:idx val="0"/>
          <c:order val="0"/>
          <c:tx>
            <c:strRef>
              <c:f>'Home Lighting Findings'!$B$110</c:f>
              <c:strCache>
                <c:ptCount val="1"/>
                <c:pt idx="0">
                  <c:v>Water polluted beyond safe levels for drinking (in bathtubs)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blipFill>
                <a:blip r:embed="rId2"/>
                <a:srcRect/>
                <a:stretch>
                  <a:fillRect/>
                </a:stretch>
              </a:blipFill>
              <a:ln w="3175">
                <a:noFill/>
              </a:ln>
            </c:spPr>
          </c:dPt>
          <c:dPt>
            <c:idx val="1"/>
            <c:invertIfNegative val="0"/>
            <c:spPr>
              <a:blipFill>
                <a:blip r:embed="rId3"/>
                <a:srcRect/>
                <a:stretch>
                  <a:fillRect/>
                </a:stretch>
              </a:blipFill>
              <a:ln w="3175">
                <a:noFill/>
              </a:ln>
            </c:spPr>
          </c:dPt>
          <c:cat>
            <c:strRef>
              <c:f>'Home Lighting Findings'!$A$111:$A$112</c:f>
              <c:strCache/>
            </c:strRef>
          </c:cat>
          <c:val>
            <c:numRef>
              <c:f>'Home Lighting Findings'!$B$111:$B$112</c:f>
              <c:numCache/>
            </c:numRef>
          </c:val>
        </c:ser>
        <c:axId val="15582623"/>
        <c:axId val="6025880"/>
      </c:barChart>
      <c:catAx>
        <c:axId val="15582623"/>
        <c:scaling>
          <c:orientation val="minMax"/>
        </c:scaling>
        <c:axPos val="b"/>
        <c:delete val="0"/>
        <c:numFmt formatCode="General" sourceLinked="1"/>
        <c:majorTickMark val="out"/>
        <c:minorTickMark val="none"/>
        <c:tickLblPos val="nextTo"/>
        <c:spPr>
          <a:ln w="3175">
            <a:solidFill>
              <a:srgbClr val="000000"/>
            </a:solidFill>
          </a:ln>
        </c:spPr>
        <c:crossAx val="6025880"/>
        <c:crosses val="autoZero"/>
        <c:auto val="1"/>
        <c:lblOffset val="100"/>
        <c:tickLblSkip val="1"/>
        <c:noMultiLvlLbl val="0"/>
      </c:catAx>
      <c:valAx>
        <c:axId val="6025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8262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Annual Cost by Light Source</a:t>
            </a:r>
          </a:p>
        </c:rich>
      </c:tx>
      <c:layout>
        <c:manualLayout>
          <c:xMode val="factor"/>
          <c:yMode val="factor"/>
          <c:x val="0.01475"/>
          <c:y val="0"/>
        </c:manualLayout>
      </c:layout>
      <c:spPr>
        <a:noFill/>
        <a:ln>
          <a:noFill/>
        </a:ln>
      </c:spPr>
    </c:title>
    <c:plotArea>
      <c:layout>
        <c:manualLayout>
          <c:xMode val="edge"/>
          <c:yMode val="edge"/>
          <c:x val="0.01425"/>
          <c:y val="0.2855"/>
          <c:w val="0.83975"/>
          <c:h val="0.69475"/>
        </c:manualLayout>
      </c:layout>
      <c:barChart>
        <c:barDir val="col"/>
        <c:grouping val="stacked"/>
        <c:varyColors val="0"/>
        <c:ser>
          <c:idx val="0"/>
          <c:order val="0"/>
          <c:tx>
            <c:strRef>
              <c:f>'Home Lighting Findings'!$B$121</c:f>
              <c:strCache>
                <c:ptCount val="1"/>
                <c:pt idx="0">
                  <c:v>Cost of Light Bulbs</c:v>
                </c:pt>
              </c:strCache>
            </c:strRef>
          </c:tx>
          <c:spPr>
            <a:solidFill>
              <a:srgbClr val="93CDD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'Home Lighting Findings'!$A$122:$A$124</c:f>
              <c:strCache/>
            </c:strRef>
          </c:cat>
          <c:val>
            <c:numRef>
              <c:f>'Home Lighting Findings'!$B$122:$B$124</c:f>
              <c:numCache/>
            </c:numRef>
          </c:val>
        </c:ser>
        <c:ser>
          <c:idx val="1"/>
          <c:order val="1"/>
          <c:tx>
            <c:strRef>
              <c:f>'Home Lighting Findings'!$C$121</c:f>
              <c:strCache>
                <c:ptCount val="1"/>
                <c:pt idx="0">
                  <c:v>Cost of Electricity</c:v>
                </c:pt>
              </c:strCache>
            </c:strRef>
          </c:tx>
          <c:spPr>
            <a:solidFill>
              <a:srgbClr val="9EDA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'Home Lighting Findings'!$A$122:$A$124</c:f>
              <c:strCache/>
            </c:strRef>
          </c:cat>
          <c:val>
            <c:numRef>
              <c:f>'Home Lighting Findings'!$C$122:$C$124</c:f>
              <c:numCache/>
            </c:numRef>
          </c:val>
        </c:ser>
        <c:ser>
          <c:idx val="2"/>
          <c:order val="2"/>
          <c:tx>
            <c:strRef>
              <c:f>'Home Lighting Findings'!$D$121</c:f>
              <c:strCache>
                <c:ptCount val="1"/>
                <c:pt idx="0">
                  <c:v>Savings</c:v>
                </c:pt>
              </c:strCache>
            </c:strRef>
          </c:tx>
          <c:spPr>
            <a:solidFill>
              <a:srgbClr val="9527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howLegendKey val="0"/>
            <c:showVal val="1"/>
            <c:showBubbleSize val="0"/>
            <c:showCatName val="0"/>
            <c:showSerName val="1"/>
            <c:showPercent val="0"/>
          </c:dLbls>
          <c:cat>
            <c:strRef>
              <c:f>'Home Lighting Findings'!$A$122:$A$124</c:f>
              <c:strCache/>
            </c:strRef>
          </c:cat>
          <c:val>
            <c:numRef>
              <c:f>'Home Lighting Findings'!$D$122:$D$124</c:f>
              <c:numCache/>
            </c:numRef>
          </c:val>
        </c:ser>
        <c:overlap val="100"/>
        <c:axId val="54232921"/>
        <c:axId val="18334242"/>
      </c:barChart>
      <c:catAx>
        <c:axId val="54232921"/>
        <c:scaling>
          <c:orientation val="minMax"/>
        </c:scaling>
        <c:axPos val="b"/>
        <c:delete val="0"/>
        <c:numFmt formatCode="General" sourceLinked="1"/>
        <c:majorTickMark val="out"/>
        <c:minorTickMark val="none"/>
        <c:tickLblPos val="nextTo"/>
        <c:spPr>
          <a:ln w="3175">
            <a:solidFill>
              <a:srgbClr val="000000"/>
            </a:solidFill>
          </a:ln>
        </c:spPr>
        <c:crossAx val="18334242"/>
        <c:crosses val="autoZero"/>
        <c:auto val="1"/>
        <c:lblOffset val="100"/>
        <c:tickLblSkip val="1"/>
        <c:noMultiLvlLbl val="0"/>
      </c:catAx>
      <c:valAx>
        <c:axId val="183342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32921"/>
        <c:crossesAt val="1"/>
        <c:crossBetween val="between"/>
        <c:dispUnits/>
      </c:valAx>
      <c:spPr>
        <a:solidFill>
          <a:srgbClr val="C0C0C0"/>
        </a:solidFill>
        <a:ln w="12700">
          <a:solidFill>
            <a:srgbClr val="808080"/>
          </a:solidFill>
        </a:ln>
      </c:spPr>
    </c:plotArea>
    <c:legend>
      <c:legendPos val="r"/>
      <c:layout>
        <c:manualLayout>
          <c:xMode val="edge"/>
          <c:yMode val="edge"/>
          <c:x val="0.85375"/>
          <c:y val="0.569"/>
          <c:w val="0.14375"/>
          <c:h val="0.094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Electricity Usage by Light Source for one year (kWh)</a:t>
            </a:r>
          </a:p>
        </c:rich>
      </c:tx>
      <c:layout>
        <c:manualLayout>
          <c:xMode val="factor"/>
          <c:yMode val="factor"/>
          <c:x val="0.01575"/>
          <c:y val="0.01"/>
        </c:manualLayout>
      </c:layout>
      <c:spPr>
        <a:noFill/>
        <a:ln>
          <a:noFill/>
        </a:ln>
      </c:spPr>
    </c:title>
    <c:plotArea>
      <c:layout>
        <c:manualLayout>
          <c:xMode val="edge"/>
          <c:yMode val="edge"/>
          <c:x val="0.08975"/>
          <c:y val="0.56725"/>
          <c:w val="0.62075"/>
          <c:h val="0.397"/>
        </c:manualLayout>
      </c:layout>
      <c:barChart>
        <c:barDir val="col"/>
        <c:grouping val="stacked"/>
        <c:varyColors val="0"/>
        <c:ser>
          <c:idx val="0"/>
          <c:order val="0"/>
          <c:tx>
            <c:strRef>
              <c:f>'Home Lighting Findings'!$B$100</c:f>
              <c:strCache>
                <c:ptCount val="1"/>
                <c:pt idx="0">
                  <c:v>kWh after</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Findings'!$B$101:$B$102</c:f>
              <c:numCache/>
            </c:numRef>
          </c:val>
        </c:ser>
        <c:ser>
          <c:idx val="1"/>
          <c:order val="1"/>
          <c:tx>
            <c:strRef>
              <c:f>'Home Lighting Findings'!$C$100</c:f>
              <c:strCache>
                <c:ptCount val="1"/>
                <c:pt idx="0">
                  <c:v>Energy Savings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Findings'!$C$101:$C$102</c:f>
              <c:numCache/>
            </c:numRef>
          </c:val>
        </c:ser>
        <c:ser>
          <c:idx val="2"/>
          <c:order val="2"/>
          <c:tx>
            <c:strRef>
              <c:f>'Home Lighting Findings'!$D$100</c:f>
              <c:strCache>
                <c:ptCount val="1"/>
                <c:pt idx="0">
                  <c:v>kWh before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Findings'!$A$101:$A$102</c:f>
              <c:strCache/>
            </c:strRef>
          </c:cat>
          <c:val>
            <c:numRef>
              <c:f>'Home Lighting Findings'!$D$101:$D$102</c:f>
              <c:numCache/>
            </c:numRef>
          </c:val>
        </c:ser>
        <c:overlap val="100"/>
        <c:axId val="30790451"/>
        <c:axId val="8678604"/>
      </c:barChart>
      <c:catAx>
        <c:axId val="30790451"/>
        <c:scaling>
          <c:orientation val="minMax"/>
        </c:scaling>
        <c:axPos val="b"/>
        <c:delete val="0"/>
        <c:numFmt formatCode="General" sourceLinked="1"/>
        <c:majorTickMark val="out"/>
        <c:minorTickMark val="none"/>
        <c:tickLblPos val="nextTo"/>
        <c:spPr>
          <a:ln w="3175">
            <a:solidFill>
              <a:srgbClr val="000000"/>
            </a:solidFill>
          </a:ln>
        </c:spPr>
        <c:crossAx val="8678604"/>
        <c:crosses val="autoZero"/>
        <c:auto val="1"/>
        <c:lblOffset val="100"/>
        <c:tickLblSkip val="1"/>
        <c:noMultiLvlLbl val="0"/>
      </c:catAx>
      <c:valAx>
        <c:axId val="867860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kWh</a:t>
                </a:r>
              </a:p>
            </c:rich>
          </c:tx>
          <c:layout>
            <c:manualLayout>
              <c:xMode val="factor"/>
              <c:yMode val="factor"/>
              <c:x val="-0.0065"/>
              <c:y val="0.1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90451"/>
        <c:crossesAt val="1"/>
        <c:crossBetween val="between"/>
        <c:dispUnits/>
      </c:valAx>
      <c:spPr>
        <a:noFill/>
        <a:ln>
          <a:noFill/>
        </a:ln>
      </c:spPr>
    </c:plotArea>
    <c:legend>
      <c:legendPos val="r"/>
      <c:layout>
        <c:manualLayout>
          <c:xMode val="edge"/>
          <c:yMode val="edge"/>
          <c:x val="0.73625"/>
          <c:y val="0.64875"/>
          <c:w val="0.25075"/>
          <c:h val="0.177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CO2e Emissions by Light Source for one year (lbs)</a:t>
            </a:r>
          </a:p>
        </c:rich>
      </c:tx>
      <c:layout>
        <c:manualLayout>
          <c:xMode val="factor"/>
          <c:yMode val="factor"/>
          <c:x val="-0.03325"/>
          <c:y val="-0.01"/>
        </c:manualLayout>
      </c:layout>
      <c:spPr>
        <a:noFill/>
        <a:ln>
          <a:noFill/>
        </a:ln>
      </c:spPr>
    </c:title>
    <c:plotArea>
      <c:layout>
        <c:manualLayout>
          <c:xMode val="edge"/>
          <c:yMode val="edge"/>
          <c:x val="0.02375"/>
          <c:y val="0.484"/>
          <c:w val="0.682"/>
          <c:h val="0.4835"/>
        </c:manualLayout>
      </c:layout>
      <c:barChart>
        <c:barDir val="col"/>
        <c:grouping val="stacked"/>
        <c:varyColors val="0"/>
        <c:ser>
          <c:idx val="0"/>
          <c:order val="0"/>
          <c:tx>
            <c:strRef>
              <c:f>'Home Lighting Findings'!$F$100</c:f>
              <c:strCache>
                <c:ptCount val="1"/>
                <c:pt idx="0">
                  <c:v>CO2e (lbs) after</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Findings'!$F$101:$F$102</c:f>
              <c:numCache/>
            </c:numRef>
          </c:val>
        </c:ser>
        <c:ser>
          <c:idx val="1"/>
          <c:order val="1"/>
          <c:tx>
            <c:strRef>
              <c:f>'Home Lighting Findings'!$G$100</c:f>
              <c:strCache>
                <c:ptCount val="1"/>
                <c:pt idx="0">
                  <c:v>Avoided Emissions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Findings'!$G$101:$G$102</c:f>
              <c:numCache/>
            </c:numRef>
          </c:val>
        </c:ser>
        <c:ser>
          <c:idx val="2"/>
          <c:order val="2"/>
          <c:tx>
            <c:strRef>
              <c:f>'Home Lighting Findings'!$H$100</c:f>
              <c:strCache>
                <c:ptCount val="1"/>
                <c:pt idx="0">
                  <c:v>CO2e (lbs) before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'Home Lighting Findings'!$E$101:$E$102</c:f>
              <c:strCache/>
            </c:strRef>
          </c:cat>
          <c:val>
            <c:numRef>
              <c:f>'Home Lighting Findings'!$H$101:$H$102</c:f>
              <c:numCache/>
            </c:numRef>
          </c:val>
        </c:ser>
        <c:overlap val="100"/>
        <c:axId val="10998573"/>
        <c:axId val="31878294"/>
      </c:barChart>
      <c:catAx>
        <c:axId val="10998573"/>
        <c:scaling>
          <c:orientation val="minMax"/>
        </c:scaling>
        <c:axPos val="b"/>
        <c:delete val="0"/>
        <c:numFmt formatCode="General" sourceLinked="1"/>
        <c:majorTickMark val="out"/>
        <c:minorTickMark val="none"/>
        <c:tickLblPos val="nextTo"/>
        <c:spPr>
          <a:ln w="3175">
            <a:solidFill>
              <a:srgbClr val="000000"/>
            </a:solidFill>
          </a:ln>
        </c:spPr>
        <c:crossAx val="31878294"/>
        <c:crosses val="autoZero"/>
        <c:auto val="1"/>
        <c:lblOffset val="100"/>
        <c:tickLblSkip val="1"/>
        <c:noMultiLvlLbl val="0"/>
      </c:catAx>
      <c:valAx>
        <c:axId val="318782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98573"/>
        <c:crossesAt val="1"/>
        <c:crossBetween val="between"/>
        <c:dispUnits/>
      </c:valAx>
      <c:spPr>
        <a:solidFill>
          <a:srgbClr val="FFFFFF"/>
        </a:solidFill>
        <a:ln w="3175">
          <a:noFill/>
        </a:ln>
      </c:spPr>
    </c:plotArea>
    <c:legend>
      <c:legendPos val="r"/>
      <c:layout>
        <c:manualLayout>
          <c:xMode val="edge"/>
          <c:yMode val="edge"/>
          <c:x val="0.734"/>
          <c:y val="0.59525"/>
          <c:w val="0.259"/>
          <c:h val="0.17725"/>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Lunch Trash</a:t>
            </a:r>
          </a:p>
        </c:rich>
      </c:tx>
      <c:layout>
        <c:manualLayout>
          <c:xMode val="factor"/>
          <c:yMode val="factor"/>
          <c:x val="-0.002"/>
          <c:y val="-0.0105"/>
        </c:manualLayout>
      </c:layout>
      <c:spPr>
        <a:noFill/>
        <a:ln>
          <a:noFill/>
        </a:ln>
      </c:spPr>
    </c:title>
    <c:plotArea>
      <c:layout>
        <c:manualLayout>
          <c:xMode val="edge"/>
          <c:yMode val="edge"/>
          <c:x val="0.3635"/>
          <c:y val="0.523"/>
          <c:w val="0.265"/>
          <c:h val="0.44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numFmt formatCode="General" sourceLinked="1"/>
              <c:spPr>
                <a:noFill/>
                <a:ln>
                  <a:noFill/>
                </a:ln>
              </c:spPr>
              <c:showLegendKey val="0"/>
              <c:showVal val="0"/>
              <c:showBubbleSize val="0"/>
              <c:showCatName val="1"/>
              <c:showSerName val="0"/>
              <c:showPercent val="0"/>
            </c:dLbl>
            <c:dLbl>
              <c:idx val="1"/>
              <c:numFmt formatCode="General" sourceLinked="1"/>
              <c:spPr>
                <a:noFill/>
                <a:ln>
                  <a:noFill/>
                </a:ln>
              </c:spPr>
              <c:showLegendKey val="0"/>
              <c:showVal val="0"/>
              <c:showBubbleSize val="0"/>
              <c:showCatName val="1"/>
              <c:showSerName val="0"/>
              <c:showPercent val="0"/>
            </c:dLbl>
            <c:dLbl>
              <c:idx val="2"/>
              <c:numFmt formatCode="General" sourceLinked="1"/>
              <c:spPr>
                <a:noFill/>
                <a:ln>
                  <a:noFill/>
                </a:ln>
              </c:spPr>
              <c:showLegendKey val="0"/>
              <c:showVal val="0"/>
              <c:showBubbleSize val="0"/>
              <c:showCatName val="1"/>
              <c:showSerName val="0"/>
              <c:showPercent val="0"/>
            </c:dLbl>
            <c:dLbl>
              <c:idx val="3"/>
              <c:numFmt formatCode="General" sourceLinked="1"/>
              <c:spPr>
                <a:noFill/>
                <a:ln>
                  <a:noFill/>
                </a:ln>
              </c:spPr>
              <c:showLegendKey val="0"/>
              <c:showVal val="0"/>
              <c:showBubbleSize val="0"/>
              <c:showCatName val="1"/>
              <c:showSerName val="0"/>
              <c:showPercent val="0"/>
            </c:dLbl>
            <c:dLbl>
              <c:idx val="4"/>
              <c:numFmt formatCode="General" sourceLinked="1"/>
              <c:spPr>
                <a:noFill/>
                <a:ln>
                  <a:noFill/>
                </a:ln>
              </c:spPr>
              <c:showLegendKey val="0"/>
              <c:showVal val="0"/>
              <c:showBubbleSize val="0"/>
              <c:showCatName val="1"/>
              <c:showSerName val="0"/>
              <c:showPercent val="0"/>
            </c:dLbl>
            <c:dLbl>
              <c:idx val="5"/>
              <c:numFmt formatCode="General" sourceLinked="1"/>
              <c:spPr>
                <a:noFill/>
                <a:ln>
                  <a:noFill/>
                </a:ln>
              </c:spPr>
              <c:showLegendKey val="0"/>
              <c:showVal val="0"/>
              <c:showBubbleSize val="0"/>
              <c:showCatName val="1"/>
              <c:showSerName val="0"/>
              <c:showPercent val="0"/>
            </c:dLbl>
            <c:dLbl>
              <c:idx val="6"/>
              <c:numFmt formatCode="General" sourceLinked="1"/>
              <c:spPr>
                <a:noFill/>
                <a:ln>
                  <a:noFill/>
                </a:ln>
              </c:spPr>
              <c:showLegendKey val="0"/>
              <c:showVal val="0"/>
              <c:showBubbleSize val="0"/>
              <c:showCatName val="1"/>
              <c:showSerName val="0"/>
              <c:showPercent val="0"/>
            </c:dLbl>
            <c:dLbl>
              <c:idx val="7"/>
              <c:numFmt formatCode="General" sourceLinked="1"/>
              <c:spPr>
                <a:noFill/>
                <a:ln>
                  <a:noFill/>
                </a:ln>
              </c:spPr>
              <c:showLegendKey val="0"/>
              <c:showVal val="0"/>
              <c:showBubbleSize val="0"/>
              <c:showCatName val="1"/>
              <c:showSerName val="0"/>
              <c:showPercent val="0"/>
            </c:dLbl>
            <c:dLbl>
              <c:idx val="8"/>
              <c:numFmt formatCode="General" sourceLinked="1"/>
              <c:spPr>
                <a:noFill/>
                <a:ln>
                  <a:noFill/>
                </a:ln>
              </c:spPr>
              <c:showLegendKey val="0"/>
              <c:showVal val="0"/>
              <c:showBubbleSize val="0"/>
              <c:showCatName val="1"/>
              <c:showSerName val="0"/>
              <c:showPercent val="0"/>
            </c:dLbl>
            <c:dLbl>
              <c:idx val="9"/>
              <c:numFmt formatCode="General" sourceLinked="1"/>
              <c:spPr>
                <a:noFill/>
                <a:ln>
                  <a:noFill/>
                </a:ln>
              </c:spPr>
              <c:showLegendKey val="0"/>
              <c:showVal val="0"/>
              <c:showBubbleSize val="0"/>
              <c:showCatName val="1"/>
              <c:showSerName val="0"/>
              <c:showPercent val="0"/>
            </c:dLbl>
            <c:dLbl>
              <c:idx val="10"/>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0"/>
            <c:showPercent val="0"/>
          </c:dLbls>
          <c:cat>
            <c:strRef>
              <c:f>'Litter Log'!$C$11:$M$11</c:f>
              <c:strCache/>
            </c:strRef>
          </c:cat>
          <c:val>
            <c:numRef>
              <c:f>'Litter Log'!$C$19:$M$19</c:f>
              <c:numCache/>
            </c:numRef>
          </c:val>
        </c:ser>
      </c:pieChart>
      <c:spPr>
        <a:noFill/>
        <a:ln>
          <a:noFill/>
        </a:ln>
      </c:spPr>
    </c:plotArea>
    <c:legend>
      <c:legendPos val="r"/>
      <c:layout>
        <c:manualLayout>
          <c:xMode val="edge"/>
          <c:yMode val="edge"/>
          <c:x val="0.119"/>
          <c:y val="0.219"/>
          <c:w val="0.76225"/>
          <c:h val="0.208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Schoolyard Litter</a:t>
            </a:r>
          </a:p>
        </c:rich>
      </c:tx>
      <c:layout>
        <c:manualLayout>
          <c:xMode val="factor"/>
          <c:yMode val="factor"/>
          <c:x val="-0.002"/>
          <c:y val="-0.01075"/>
        </c:manualLayout>
      </c:layout>
      <c:spPr>
        <a:noFill/>
        <a:ln>
          <a:noFill/>
        </a:ln>
      </c:spPr>
    </c:title>
    <c:plotArea>
      <c:layout>
        <c:manualLayout>
          <c:xMode val="edge"/>
          <c:yMode val="edge"/>
          <c:x val="0.3675"/>
          <c:y val="0.5265"/>
          <c:w val="0.261"/>
          <c:h val="0.43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numFmt formatCode="General" sourceLinked="1"/>
              <c:spPr>
                <a:noFill/>
                <a:ln>
                  <a:noFill/>
                </a:ln>
              </c:spPr>
              <c:showLegendKey val="0"/>
              <c:showVal val="0"/>
              <c:showBubbleSize val="0"/>
              <c:showCatName val="1"/>
              <c:showSerName val="0"/>
              <c:showPercent val="0"/>
            </c:dLbl>
            <c:dLbl>
              <c:idx val="1"/>
              <c:numFmt formatCode="General" sourceLinked="1"/>
              <c:spPr>
                <a:noFill/>
                <a:ln>
                  <a:noFill/>
                </a:ln>
              </c:spPr>
              <c:showLegendKey val="0"/>
              <c:showVal val="0"/>
              <c:showBubbleSize val="0"/>
              <c:showCatName val="1"/>
              <c:showSerName val="0"/>
              <c:showPercent val="0"/>
            </c:dLbl>
            <c:dLbl>
              <c:idx val="2"/>
              <c:numFmt formatCode="General" sourceLinked="1"/>
              <c:spPr>
                <a:noFill/>
                <a:ln>
                  <a:noFill/>
                </a:ln>
              </c:spPr>
              <c:showLegendKey val="0"/>
              <c:showVal val="0"/>
              <c:showBubbleSize val="0"/>
              <c:showCatName val="1"/>
              <c:showSerName val="0"/>
              <c:showPercent val="0"/>
            </c:dLbl>
            <c:dLbl>
              <c:idx val="3"/>
              <c:numFmt formatCode="General" sourceLinked="1"/>
              <c:spPr>
                <a:noFill/>
                <a:ln>
                  <a:noFill/>
                </a:ln>
              </c:spPr>
              <c:showLegendKey val="0"/>
              <c:showVal val="0"/>
              <c:showBubbleSize val="0"/>
              <c:showCatName val="1"/>
              <c:showSerName val="0"/>
              <c:showPercent val="0"/>
            </c:dLbl>
            <c:dLbl>
              <c:idx val="4"/>
              <c:numFmt formatCode="General" sourceLinked="1"/>
              <c:spPr>
                <a:noFill/>
                <a:ln>
                  <a:noFill/>
                </a:ln>
              </c:spPr>
              <c:showLegendKey val="0"/>
              <c:showVal val="0"/>
              <c:showBubbleSize val="0"/>
              <c:showCatName val="1"/>
              <c:showSerName val="0"/>
              <c:showPercent val="0"/>
            </c:dLbl>
            <c:dLbl>
              <c:idx val="5"/>
              <c:numFmt formatCode="General" sourceLinked="1"/>
              <c:spPr>
                <a:noFill/>
                <a:ln>
                  <a:noFill/>
                </a:ln>
              </c:spPr>
              <c:showLegendKey val="0"/>
              <c:showVal val="0"/>
              <c:showBubbleSize val="0"/>
              <c:showCatName val="1"/>
              <c:showSerName val="0"/>
              <c:showPercent val="0"/>
            </c:dLbl>
            <c:dLbl>
              <c:idx val="6"/>
              <c:numFmt formatCode="General" sourceLinked="1"/>
              <c:spPr>
                <a:noFill/>
                <a:ln>
                  <a:noFill/>
                </a:ln>
              </c:spPr>
              <c:showLegendKey val="0"/>
              <c:showVal val="0"/>
              <c:showBubbleSize val="0"/>
              <c:showCatName val="1"/>
              <c:showSerName val="0"/>
              <c:showPercent val="0"/>
            </c:dLbl>
            <c:dLbl>
              <c:idx val="7"/>
              <c:numFmt formatCode="General" sourceLinked="1"/>
              <c:spPr>
                <a:noFill/>
                <a:ln>
                  <a:noFill/>
                </a:ln>
              </c:spPr>
              <c:showLegendKey val="0"/>
              <c:showVal val="0"/>
              <c:showBubbleSize val="0"/>
              <c:showCatName val="1"/>
              <c:showSerName val="0"/>
              <c:showPercent val="0"/>
            </c:dLbl>
            <c:dLbl>
              <c:idx val="8"/>
              <c:numFmt formatCode="General" sourceLinked="1"/>
              <c:spPr>
                <a:noFill/>
                <a:ln>
                  <a:noFill/>
                </a:ln>
              </c:spPr>
              <c:showLegendKey val="0"/>
              <c:showVal val="0"/>
              <c:showBubbleSize val="0"/>
              <c:showCatName val="1"/>
              <c:showSerName val="0"/>
              <c:showPercent val="0"/>
            </c:dLbl>
            <c:dLbl>
              <c:idx val="9"/>
              <c:numFmt formatCode="General" sourceLinked="1"/>
              <c:spPr>
                <a:noFill/>
                <a:ln>
                  <a:noFill/>
                </a:ln>
              </c:spPr>
              <c:showLegendKey val="0"/>
              <c:showVal val="0"/>
              <c:showBubbleSize val="0"/>
              <c:showCatName val="1"/>
              <c:showSerName val="0"/>
              <c:showPercent val="0"/>
            </c:dLbl>
            <c:dLbl>
              <c:idx val="10"/>
              <c:numFmt formatCode="General" sourceLinked="1"/>
              <c:spPr>
                <a:noFill/>
                <a:ln>
                  <a:noFill/>
                </a:ln>
              </c:spPr>
              <c:showLegendKey val="0"/>
              <c:showVal val="0"/>
              <c:showBubbleSize val="0"/>
              <c:showCatName val="1"/>
              <c:showSerName val="0"/>
              <c:showPercent val="0"/>
            </c:dLbl>
            <c:numFmt formatCode="General" sourceLinked="1"/>
            <c:spPr>
              <a:noFill/>
              <a:ln>
                <a:noFill/>
              </a:ln>
            </c:spPr>
            <c:showLegendKey val="0"/>
            <c:showVal val="0"/>
            <c:showBubbleSize val="0"/>
            <c:showCatName val="0"/>
            <c:showSerName val="0"/>
            <c:showLeaderLines val="0"/>
            <c:showPercent val="0"/>
          </c:dLbls>
          <c:cat>
            <c:strRef>
              <c:f>'Litter Log'!$C$31:$M$31</c:f>
              <c:strCache/>
            </c:strRef>
          </c:cat>
          <c:val>
            <c:numRef>
              <c:f>'Litter Log'!$C$34:$M$34</c:f>
              <c:numCache/>
            </c:numRef>
          </c:val>
        </c:ser>
      </c:pieChart>
      <c:spPr>
        <a:noFill/>
        <a:ln>
          <a:noFill/>
        </a:ln>
      </c:spPr>
    </c:plotArea>
    <c:legend>
      <c:legendPos val="r"/>
      <c:layout>
        <c:manualLayout>
          <c:xMode val="edge"/>
          <c:yMode val="edge"/>
          <c:x val="0.11675"/>
          <c:y val="0.22775"/>
          <c:w val="0.76225"/>
          <c:h val="0.2027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8.emf" /><Relationship Id="rId4"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chart" Target="/xl/charts/chart8.xml" /><Relationship Id="rId4"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133350</xdr:rowOff>
    </xdr:from>
    <xdr:to>
      <xdr:col>5</xdr:col>
      <xdr:colOff>428625</xdr:colOff>
      <xdr:row>10</xdr:row>
      <xdr:rowOff>28575</xdr:rowOff>
    </xdr:to>
    <xdr:pic>
      <xdr:nvPicPr>
        <xdr:cNvPr id="1" name="Picture 3" descr="http://www.mentalfloss.com/wp-content/uploads/2008/12/29-Calculator-Jumbo.jpg"/>
        <xdr:cNvPicPr preferRelativeResize="1">
          <a:picLocks noChangeAspect="1"/>
        </xdr:cNvPicPr>
      </xdr:nvPicPr>
      <xdr:blipFill>
        <a:blip r:embed="rId1"/>
        <a:stretch>
          <a:fillRect/>
        </a:stretch>
      </xdr:blipFill>
      <xdr:spPr>
        <a:xfrm>
          <a:off x="2628900" y="428625"/>
          <a:ext cx="16383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7</xdr:row>
      <xdr:rowOff>161925</xdr:rowOff>
    </xdr:from>
    <xdr:to>
      <xdr:col>8</xdr:col>
      <xdr:colOff>723900</xdr:colOff>
      <xdr:row>7</xdr:row>
      <xdr:rowOff>1276350</xdr:rowOff>
    </xdr:to>
    <xdr:pic>
      <xdr:nvPicPr>
        <xdr:cNvPr id="1" name="Picture 1" descr="220px-LeakedBattery_2701a"/>
        <xdr:cNvPicPr preferRelativeResize="1">
          <a:picLocks noChangeAspect="1"/>
        </xdr:cNvPicPr>
      </xdr:nvPicPr>
      <xdr:blipFill>
        <a:blip r:embed="rId1"/>
        <a:stretch>
          <a:fillRect/>
        </a:stretch>
      </xdr:blipFill>
      <xdr:spPr>
        <a:xfrm>
          <a:off x="4695825" y="1933575"/>
          <a:ext cx="2124075" cy="1114425"/>
        </a:xfrm>
        <a:prstGeom prst="rect">
          <a:avLst/>
        </a:prstGeom>
        <a:noFill/>
        <a:ln w="9525" cmpd="sng">
          <a:noFill/>
        </a:ln>
      </xdr:spPr>
    </xdr:pic>
    <xdr:clientData/>
  </xdr:twoCellAnchor>
  <xdr:twoCellAnchor editAs="oneCell">
    <xdr:from>
      <xdr:col>0</xdr:col>
      <xdr:colOff>409575</xdr:colOff>
      <xdr:row>7</xdr:row>
      <xdr:rowOff>66675</xdr:rowOff>
    </xdr:from>
    <xdr:to>
      <xdr:col>3</xdr:col>
      <xdr:colOff>295275</xdr:colOff>
      <xdr:row>7</xdr:row>
      <xdr:rowOff>1428750</xdr:rowOff>
    </xdr:to>
    <xdr:pic>
      <xdr:nvPicPr>
        <xdr:cNvPr id="2" name="Picture 2" descr="Batteries"/>
        <xdr:cNvPicPr preferRelativeResize="1">
          <a:picLocks noChangeAspect="1"/>
        </xdr:cNvPicPr>
      </xdr:nvPicPr>
      <xdr:blipFill>
        <a:blip r:embed="rId2"/>
        <a:stretch>
          <a:fillRect/>
        </a:stretch>
      </xdr:blipFill>
      <xdr:spPr>
        <a:xfrm>
          <a:off x="409575" y="1838325"/>
          <a:ext cx="2171700"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95250</xdr:rowOff>
    </xdr:from>
    <xdr:to>
      <xdr:col>6</xdr:col>
      <xdr:colOff>342900</xdr:colOff>
      <xdr:row>26</xdr:row>
      <xdr:rowOff>104775</xdr:rowOff>
    </xdr:to>
    <xdr:graphicFrame>
      <xdr:nvGraphicFramePr>
        <xdr:cNvPr id="1" name="Chart 2"/>
        <xdr:cNvGraphicFramePr/>
      </xdr:nvGraphicFramePr>
      <xdr:xfrm>
        <a:off x="76200" y="3248025"/>
        <a:ext cx="4648200" cy="3505200"/>
      </xdr:xfrm>
      <a:graphic>
        <a:graphicData uri="http://schemas.openxmlformats.org/drawingml/2006/chart">
          <c:chart xmlns:c="http://schemas.openxmlformats.org/drawingml/2006/chart" r:id="rId1"/>
        </a:graphicData>
      </a:graphic>
    </xdr:graphicFrame>
    <xdr:clientData/>
  </xdr:twoCellAnchor>
  <xdr:twoCellAnchor>
    <xdr:from>
      <xdr:col>6</xdr:col>
      <xdr:colOff>476250</xdr:colOff>
      <xdr:row>25</xdr:row>
      <xdr:rowOff>85725</xdr:rowOff>
    </xdr:from>
    <xdr:to>
      <xdr:col>13</xdr:col>
      <xdr:colOff>9525</xdr:colOff>
      <xdr:row>26</xdr:row>
      <xdr:rowOff>85725</xdr:rowOff>
    </xdr:to>
    <xdr:graphicFrame>
      <xdr:nvGraphicFramePr>
        <xdr:cNvPr id="2" name="Chart 3"/>
        <xdr:cNvGraphicFramePr/>
      </xdr:nvGraphicFramePr>
      <xdr:xfrm>
        <a:off x="4857750" y="3238500"/>
        <a:ext cx="5267325" cy="34956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76200</xdr:colOff>
      <xdr:row>5</xdr:row>
      <xdr:rowOff>38100</xdr:rowOff>
    </xdr:from>
    <xdr:to>
      <xdr:col>0</xdr:col>
      <xdr:colOff>1562100</xdr:colOff>
      <xdr:row>5</xdr:row>
      <xdr:rowOff>304800</xdr:rowOff>
    </xdr:to>
    <xdr:pic>
      <xdr:nvPicPr>
        <xdr:cNvPr id="3" name="CommandButton1"/>
        <xdr:cNvPicPr preferRelativeResize="1">
          <a:picLocks noChangeAspect="1"/>
        </xdr:cNvPicPr>
      </xdr:nvPicPr>
      <xdr:blipFill>
        <a:blip r:embed="rId3"/>
        <a:stretch>
          <a:fillRect/>
        </a:stretch>
      </xdr:blipFill>
      <xdr:spPr>
        <a:xfrm>
          <a:off x="76200" y="885825"/>
          <a:ext cx="1485900" cy="266700"/>
        </a:xfrm>
        <a:prstGeom prst="rect">
          <a:avLst/>
        </a:prstGeom>
        <a:noFill/>
        <a:ln w="9525" cmpd="sng">
          <a:noFill/>
        </a:ln>
      </xdr:spPr>
    </xdr:pic>
    <xdr:clientData/>
  </xdr:twoCellAnchor>
  <xdr:twoCellAnchor editAs="oneCell">
    <xdr:from>
      <xdr:col>0</xdr:col>
      <xdr:colOff>76200</xdr:colOff>
      <xdr:row>5</xdr:row>
      <xdr:rowOff>342900</xdr:rowOff>
    </xdr:from>
    <xdr:to>
      <xdr:col>0</xdr:col>
      <xdr:colOff>1562100</xdr:colOff>
      <xdr:row>5</xdr:row>
      <xdr:rowOff>609600</xdr:rowOff>
    </xdr:to>
    <xdr:pic>
      <xdr:nvPicPr>
        <xdr:cNvPr id="4" name="CommandButton2"/>
        <xdr:cNvPicPr preferRelativeResize="1">
          <a:picLocks noChangeAspect="1"/>
        </xdr:cNvPicPr>
      </xdr:nvPicPr>
      <xdr:blipFill>
        <a:blip r:embed="rId4"/>
        <a:stretch>
          <a:fillRect/>
        </a:stretch>
      </xdr:blipFill>
      <xdr:spPr>
        <a:xfrm>
          <a:off x="76200" y="1190625"/>
          <a:ext cx="1485900" cy="26670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0.01775</cdr:x>
      <cdr:y>0.4805</cdr:y>
    </cdr:from>
    <cdr:to>
      <cdr:x>0.18775</cdr:x>
      <cdr:y>0.573</cdr:y>
    </cdr:to>
    <cdr:sp>
      <cdr:nvSpPr>
        <cdr:cNvPr id="1" name="TextBox 1"/>
        <cdr:cNvSpPr txBox="1">
          <a:spLocks noChangeArrowheads="1"/>
        </cdr:cNvSpPr>
      </cdr:nvSpPr>
      <cdr:spPr>
        <a:xfrm>
          <a:off x="57150" y="1028700"/>
          <a:ext cx="628650" cy="200025"/>
        </a:xfrm>
        <a:prstGeom prst="rect">
          <a:avLst/>
        </a:prstGeom>
        <a:noFill/>
        <a:ln w="9525" cmpd="sng">
          <a:noFill/>
        </a:ln>
      </cdr:spPr>
      <cdr:txBody>
        <a:bodyPr vertOverflow="clip" wrap="square"/>
        <a:p>
          <a:pPr algn="l">
            <a:defRPr/>
          </a:pPr>
          <a:r>
            <a:rPr lang="en-US" cap="none" sz="1080" b="0" i="0" u="none" baseline="0">
              <a:solidFill>
                <a:srgbClr val="000000"/>
              </a:solidFill>
              <a:latin typeface="Arial"/>
              <a:ea typeface="Arial"/>
              <a:cs typeface="Arial"/>
            </a:rPr>
            <a:t>Gallons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32</xdr:row>
      <xdr:rowOff>152400</xdr:rowOff>
    </xdr:from>
    <xdr:to>
      <xdr:col>4</xdr:col>
      <xdr:colOff>133350</xdr:colOff>
      <xdr:row>47</xdr:row>
      <xdr:rowOff>133350</xdr:rowOff>
    </xdr:to>
    <xdr:graphicFrame>
      <xdr:nvGraphicFramePr>
        <xdr:cNvPr id="1" name="Chart 10"/>
        <xdr:cNvGraphicFramePr/>
      </xdr:nvGraphicFramePr>
      <xdr:xfrm>
        <a:off x="28575" y="6581775"/>
        <a:ext cx="3886200" cy="2447925"/>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34</xdr:row>
      <xdr:rowOff>85725</xdr:rowOff>
    </xdr:from>
    <xdr:to>
      <xdr:col>9</xdr:col>
      <xdr:colOff>371475</xdr:colOff>
      <xdr:row>47</xdr:row>
      <xdr:rowOff>123825</xdr:rowOff>
    </xdr:to>
    <xdr:graphicFrame>
      <xdr:nvGraphicFramePr>
        <xdr:cNvPr id="2" name="Chart 11"/>
        <xdr:cNvGraphicFramePr/>
      </xdr:nvGraphicFramePr>
      <xdr:xfrm>
        <a:off x="4086225" y="6877050"/>
        <a:ext cx="3686175" cy="21431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48</xdr:row>
      <xdr:rowOff>104775</xdr:rowOff>
    </xdr:from>
    <xdr:to>
      <xdr:col>9</xdr:col>
      <xdr:colOff>590550</xdr:colOff>
      <xdr:row>79</xdr:row>
      <xdr:rowOff>9525</xdr:rowOff>
    </xdr:to>
    <xdr:graphicFrame>
      <xdr:nvGraphicFramePr>
        <xdr:cNvPr id="3" name="Chart 13"/>
        <xdr:cNvGraphicFramePr/>
      </xdr:nvGraphicFramePr>
      <xdr:xfrm>
        <a:off x="152400" y="9163050"/>
        <a:ext cx="7839075" cy="4924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13</xdr:row>
      <xdr:rowOff>9525</xdr:rowOff>
    </xdr:from>
    <xdr:to>
      <xdr:col>3</xdr:col>
      <xdr:colOff>638175</xdr:colOff>
      <xdr:row>31</xdr:row>
      <xdr:rowOff>28575</xdr:rowOff>
    </xdr:to>
    <xdr:graphicFrame>
      <xdr:nvGraphicFramePr>
        <xdr:cNvPr id="4" name="Chart 32"/>
        <xdr:cNvGraphicFramePr/>
      </xdr:nvGraphicFramePr>
      <xdr:xfrm>
        <a:off x="0" y="3362325"/>
        <a:ext cx="3695700" cy="2933700"/>
      </xdr:xfrm>
      <a:graphic>
        <a:graphicData uri="http://schemas.openxmlformats.org/drawingml/2006/chart">
          <c:chart xmlns:c="http://schemas.openxmlformats.org/drawingml/2006/chart" r:id="rId4"/>
        </a:graphicData>
      </a:graphic>
    </xdr:graphicFrame>
    <xdr:clientData/>
  </xdr:twoCellAnchor>
  <xdr:twoCellAnchor>
    <xdr:from>
      <xdr:col>4</xdr:col>
      <xdr:colOff>47625</xdr:colOff>
      <xdr:row>13</xdr:row>
      <xdr:rowOff>9525</xdr:rowOff>
    </xdr:from>
    <xdr:to>
      <xdr:col>9</xdr:col>
      <xdr:colOff>523875</xdr:colOff>
      <xdr:row>31</xdr:row>
      <xdr:rowOff>28575</xdr:rowOff>
    </xdr:to>
    <xdr:graphicFrame>
      <xdr:nvGraphicFramePr>
        <xdr:cNvPr id="5" name="Chart 33"/>
        <xdr:cNvGraphicFramePr/>
      </xdr:nvGraphicFramePr>
      <xdr:xfrm>
        <a:off x="3829050" y="3362325"/>
        <a:ext cx="4095750" cy="29337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10</xdr:row>
      <xdr:rowOff>47625</xdr:rowOff>
    </xdr:from>
    <xdr:to>
      <xdr:col>5</xdr:col>
      <xdr:colOff>628650</xdr:colOff>
      <xdr:row>10</xdr:row>
      <xdr:rowOff>733425</xdr:rowOff>
    </xdr:to>
    <xdr:pic>
      <xdr:nvPicPr>
        <xdr:cNvPr id="1" name="Picture 2" descr="doritos.jpg"/>
        <xdr:cNvPicPr preferRelativeResize="1">
          <a:picLocks noChangeAspect="1"/>
        </xdr:cNvPicPr>
      </xdr:nvPicPr>
      <xdr:blipFill>
        <a:blip r:embed="rId1"/>
        <a:stretch>
          <a:fillRect/>
        </a:stretch>
      </xdr:blipFill>
      <xdr:spPr>
        <a:xfrm>
          <a:off x="3971925" y="3219450"/>
          <a:ext cx="466725" cy="685800"/>
        </a:xfrm>
        <a:prstGeom prst="rect">
          <a:avLst/>
        </a:prstGeom>
        <a:noFill/>
        <a:ln w="9525" cmpd="sng">
          <a:noFill/>
        </a:ln>
      </xdr:spPr>
    </xdr:pic>
    <xdr:clientData/>
  </xdr:twoCellAnchor>
  <xdr:twoCellAnchor editAs="oneCell">
    <xdr:from>
      <xdr:col>9</xdr:col>
      <xdr:colOff>628650</xdr:colOff>
      <xdr:row>10</xdr:row>
      <xdr:rowOff>285750</xdr:rowOff>
    </xdr:from>
    <xdr:to>
      <xdr:col>11</xdr:col>
      <xdr:colOff>57150</xdr:colOff>
      <xdr:row>10</xdr:row>
      <xdr:rowOff>657225</xdr:rowOff>
    </xdr:to>
    <xdr:pic>
      <xdr:nvPicPr>
        <xdr:cNvPr id="2" name="Picture 1" descr="foodboat.jpg"/>
        <xdr:cNvPicPr preferRelativeResize="1">
          <a:picLocks noChangeAspect="1"/>
        </xdr:cNvPicPr>
      </xdr:nvPicPr>
      <xdr:blipFill>
        <a:blip r:embed="rId2"/>
        <a:stretch>
          <a:fillRect/>
        </a:stretch>
      </xdr:blipFill>
      <xdr:spPr>
        <a:xfrm>
          <a:off x="7486650" y="3457575"/>
          <a:ext cx="952500" cy="371475"/>
        </a:xfrm>
        <a:prstGeom prst="rect">
          <a:avLst/>
        </a:prstGeom>
        <a:noFill/>
        <a:ln w="9525" cmpd="sng">
          <a:noFill/>
        </a:ln>
      </xdr:spPr>
    </xdr:pic>
    <xdr:clientData/>
  </xdr:twoCellAnchor>
  <xdr:twoCellAnchor>
    <xdr:from>
      <xdr:col>0</xdr:col>
      <xdr:colOff>19050</xdr:colOff>
      <xdr:row>42</xdr:row>
      <xdr:rowOff>66675</xdr:rowOff>
    </xdr:from>
    <xdr:to>
      <xdr:col>6</xdr:col>
      <xdr:colOff>19050</xdr:colOff>
      <xdr:row>59</xdr:row>
      <xdr:rowOff>95250</xdr:rowOff>
    </xdr:to>
    <xdr:graphicFrame>
      <xdr:nvGraphicFramePr>
        <xdr:cNvPr id="3" name="Chart 4"/>
        <xdr:cNvGraphicFramePr/>
      </xdr:nvGraphicFramePr>
      <xdr:xfrm>
        <a:off x="19050" y="12506325"/>
        <a:ext cx="4572000" cy="2781300"/>
      </xdr:xfrm>
      <a:graphic>
        <a:graphicData uri="http://schemas.openxmlformats.org/drawingml/2006/chart">
          <c:chart xmlns:c="http://schemas.openxmlformats.org/drawingml/2006/chart" r:id="rId3"/>
        </a:graphicData>
      </a:graphic>
    </xdr:graphicFrame>
    <xdr:clientData/>
  </xdr:twoCellAnchor>
  <xdr:twoCellAnchor>
    <xdr:from>
      <xdr:col>6</xdr:col>
      <xdr:colOff>361950</xdr:colOff>
      <xdr:row>42</xdr:row>
      <xdr:rowOff>85725</xdr:rowOff>
    </xdr:from>
    <xdr:to>
      <xdr:col>12</xdr:col>
      <xdr:colOff>361950</xdr:colOff>
      <xdr:row>59</xdr:row>
      <xdr:rowOff>95250</xdr:rowOff>
    </xdr:to>
    <xdr:graphicFrame>
      <xdr:nvGraphicFramePr>
        <xdr:cNvPr id="4" name="Chart 5"/>
        <xdr:cNvGraphicFramePr/>
      </xdr:nvGraphicFramePr>
      <xdr:xfrm>
        <a:off x="4933950" y="12525375"/>
        <a:ext cx="4572000" cy="27622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62</xdr:row>
      <xdr:rowOff>123825</xdr:rowOff>
    </xdr:from>
    <xdr:to>
      <xdr:col>4</xdr:col>
      <xdr:colOff>571500</xdr:colOff>
      <xdr:row>80</xdr:row>
      <xdr:rowOff>104775</xdr:rowOff>
    </xdr:to>
    <xdr:graphicFrame>
      <xdr:nvGraphicFramePr>
        <xdr:cNvPr id="1" name="Chart 2"/>
        <xdr:cNvGraphicFramePr/>
      </xdr:nvGraphicFramePr>
      <xdr:xfrm>
        <a:off x="133350" y="13268325"/>
        <a:ext cx="4391025" cy="28956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62</xdr:row>
      <xdr:rowOff>123825</xdr:rowOff>
    </xdr:from>
    <xdr:to>
      <xdr:col>10</xdr:col>
      <xdr:colOff>390525</xdr:colOff>
      <xdr:row>80</xdr:row>
      <xdr:rowOff>104775</xdr:rowOff>
    </xdr:to>
    <xdr:graphicFrame>
      <xdr:nvGraphicFramePr>
        <xdr:cNvPr id="2" name="Chart 3"/>
        <xdr:cNvGraphicFramePr/>
      </xdr:nvGraphicFramePr>
      <xdr:xfrm>
        <a:off x="4724400" y="13268325"/>
        <a:ext cx="3962400" cy="2895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_sf_2k\esa\Users\mspencer\AppData\Local\Temp\Web_calc_20091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_sf_2k\esa\Users\mspencer\AppData\Local\Temp\Web_calc_200909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_sf_2k\esa\CybeleChangDailyFiles\ctc20100827\Transportation\Transportation_calc_20100630_DRAF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_sf_2k\esa\C\Users\cybelechang\Downloads\Macintosh%20HDMacintosh%20HDUsers\cybelechang\Downloads\Web_calc_20100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_sf_2k\esa\C\Users\cybelechang\Downloads\Macintosh%20HDMacintosh%20HDUsers\cybelechang\Downloads\Energy_Calculator_20100401_DraftDeliver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y Purchasing"/>
      <sheetName val="CopyPaper Purchasing"/>
      <sheetName val="Alum Can Recycling"/>
      <sheetName val="Plastic Bottle Recycling"/>
      <sheetName val="Paper Recycling"/>
      <sheetName val="EDF_results"/>
      <sheetName val="Conversions-09"/>
      <sheetName val="Pick_list"/>
      <sheetName val="Conversions_JC"/>
      <sheetName val="WorldCentric_data"/>
      <sheetName val="Plastic Ecodata"/>
      <sheetName val="Paper"/>
      <sheetName val="Bottles,cans,or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y Purchasing"/>
      <sheetName val="CopyPaper Purchasing"/>
      <sheetName val="Alum Can Recycling"/>
      <sheetName val="Plastic Bottle Recycling"/>
      <sheetName val="Paper Recycling"/>
      <sheetName val="EDF_results"/>
      <sheetName val="Conversions-09"/>
      <sheetName val="Pick_list"/>
      <sheetName val="Conversions-final"/>
      <sheetName val="Conversions_JC"/>
      <sheetName val="WorldCentric_data"/>
      <sheetName val="EDF_paperCalc"/>
      <sheetName val="Plastic Ecodata"/>
      <sheetName val="Paper"/>
      <sheetName val="Bottles,cans,or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nsportation Assumptions"/>
      <sheetName val="transportation conversions 2"/>
      <sheetName val="Picklist"/>
      <sheetName val="1-Introduction"/>
      <sheetName val="2-School Info"/>
      <sheetName val="3a-Student worksheet"/>
      <sheetName val="3b-Student worksheet"/>
      <sheetName val="4-Important Terms"/>
      <sheetName val="5-Classroom Log"/>
      <sheetName val="Classroom Transport Calc"/>
      <sheetName val="6- Classroom Transport Findings"/>
      <sheetName val="7-Classroom Transport Alt Log"/>
      <sheetName val="Classroom Transport Alt Calc"/>
      <sheetName val="8-Classroom TransportAltFinding"/>
      <sheetName val="Classroom Bus Calc"/>
      <sheetName val="9-Classroom Bus Finding"/>
      <sheetName val="10-Student Vacation Log"/>
      <sheetName val="Student Vacation Calc"/>
      <sheetName val="11-Student Vacation Findings"/>
    </sheetNames>
    <sheetDataSet>
      <sheetData sheetId="2">
        <row r="2">
          <cell r="B2" t="str">
            <v>pick a value</v>
          </cell>
        </row>
        <row r="3">
          <cell r="B3" t="str">
            <v>Don't know</v>
          </cell>
        </row>
        <row r="4">
          <cell r="B4">
            <v>170</v>
          </cell>
        </row>
        <row r="5">
          <cell r="B5">
            <v>171</v>
          </cell>
        </row>
        <row r="6">
          <cell r="B6">
            <v>172</v>
          </cell>
        </row>
        <row r="7">
          <cell r="B7">
            <v>173</v>
          </cell>
        </row>
        <row r="8">
          <cell r="B8">
            <v>174</v>
          </cell>
        </row>
        <row r="9">
          <cell r="B9">
            <v>175</v>
          </cell>
        </row>
        <row r="10">
          <cell r="B10">
            <v>176</v>
          </cell>
        </row>
        <row r="11">
          <cell r="B11">
            <v>177</v>
          </cell>
        </row>
        <row r="12">
          <cell r="B12">
            <v>178</v>
          </cell>
        </row>
        <row r="13">
          <cell r="B13">
            <v>179</v>
          </cell>
        </row>
        <row r="14">
          <cell r="B14">
            <v>180</v>
          </cell>
        </row>
        <row r="15">
          <cell r="B15">
            <v>181</v>
          </cell>
        </row>
        <row r="16">
          <cell r="B16">
            <v>182</v>
          </cell>
        </row>
        <row r="17">
          <cell r="B17">
            <v>183</v>
          </cell>
        </row>
        <row r="18">
          <cell r="B18">
            <v>184</v>
          </cell>
        </row>
        <row r="19">
          <cell r="B19">
            <v>185</v>
          </cell>
        </row>
        <row r="20">
          <cell r="B20">
            <v>186</v>
          </cell>
        </row>
        <row r="21">
          <cell r="B21">
            <v>187</v>
          </cell>
        </row>
        <row r="22">
          <cell r="B22">
            <v>188</v>
          </cell>
        </row>
        <row r="23">
          <cell r="B23">
            <v>189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versions-09"/>
      <sheetName val="EPA Definitions"/>
      <sheetName val="David Allaway"/>
      <sheetName val="Pick_list"/>
      <sheetName val="Introduction"/>
      <sheetName val="School Info"/>
      <sheetName val="School WM"/>
      <sheetName val="School WM Findings"/>
      <sheetName val="Classroom Audit"/>
      <sheetName val="Classroom Findings"/>
      <sheetName val="Classroom Energy&amp;GHG"/>
      <sheetName val="MixedPaper"/>
      <sheetName val="Glass Recycling"/>
      <sheetName val="Alum Can Recycling"/>
      <sheetName val="PET Bottle Recycling"/>
      <sheetName val="Compost"/>
      <sheetName val="Tray Purchasing"/>
      <sheetName val="White Paper Purchasing"/>
      <sheetName val="EDF_results"/>
      <sheetName val="Conversions_JC"/>
      <sheetName val="WorldCentric_data"/>
      <sheetName val="Plastic Ecodata"/>
      <sheetName val="Paper"/>
      <sheetName val="Bottles,cans,org"/>
    </sheetNames>
    <sheetDataSet>
      <sheetData sheetId="3">
        <row r="24">
          <cell r="B24" t="str">
            <v>don't know</v>
          </cell>
        </row>
        <row r="25">
          <cell r="B25">
            <v>170</v>
          </cell>
        </row>
        <row r="26">
          <cell r="B26">
            <v>171</v>
          </cell>
        </row>
        <row r="27">
          <cell r="B27">
            <v>172</v>
          </cell>
        </row>
        <row r="28">
          <cell r="B28">
            <v>173</v>
          </cell>
        </row>
        <row r="29">
          <cell r="B29">
            <v>174</v>
          </cell>
        </row>
        <row r="30">
          <cell r="B30">
            <v>175</v>
          </cell>
        </row>
        <row r="31">
          <cell r="B31">
            <v>176</v>
          </cell>
        </row>
        <row r="32">
          <cell r="B32">
            <v>177</v>
          </cell>
        </row>
        <row r="33">
          <cell r="B33">
            <v>178</v>
          </cell>
        </row>
        <row r="34">
          <cell r="B34">
            <v>179</v>
          </cell>
        </row>
        <row r="35">
          <cell r="B35">
            <v>180</v>
          </cell>
        </row>
        <row r="36">
          <cell r="B36">
            <v>181</v>
          </cell>
        </row>
        <row r="37">
          <cell r="B37">
            <v>182</v>
          </cell>
        </row>
        <row r="38">
          <cell r="B38">
            <v>183</v>
          </cell>
        </row>
        <row r="39">
          <cell r="B39">
            <v>184</v>
          </cell>
        </row>
        <row r="40">
          <cell r="B40">
            <v>185</v>
          </cell>
        </row>
        <row r="41">
          <cell r="B41">
            <v>186</v>
          </cell>
        </row>
        <row r="42">
          <cell r="B42">
            <v>187</v>
          </cell>
        </row>
        <row r="43">
          <cell r="B43">
            <v>188</v>
          </cell>
        </row>
        <row r="44">
          <cell r="B44">
            <v>189</v>
          </cell>
        </row>
        <row r="45">
          <cell r="B45">
            <v>190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versions-09"/>
      <sheetName val="Pick List"/>
      <sheetName val="Energy Production Emissions"/>
      <sheetName val="Energy Production Emissions (2)"/>
      <sheetName val="PG&amp;E Power Mix"/>
      <sheetName val="1-Introduction"/>
      <sheetName val="2-About Your School"/>
      <sheetName val="3-School Energy Usage"/>
      <sheetName val="4-School Energy Results"/>
      <sheetName val="5-Classroom Example Audit"/>
      <sheetName val="6-Appliance Usage"/>
      <sheetName val="7-Classroom Appliance Audit"/>
      <sheetName val="8-Appliance Audit Results"/>
      <sheetName val="9-Appliance Savings"/>
      <sheetName val="10-Appliance Comparison"/>
      <sheetName val="11-Classroom Lighting Audit"/>
      <sheetName val="12-Lighting Audit Results"/>
      <sheetName val="Classroom Alt Calculation"/>
      <sheetName val="13-Lighting Alternatives"/>
      <sheetName val="14-Appliances Plus Lighting"/>
      <sheetName val="Fluorescent Lights"/>
      <sheetName val="Appliance Energy Usage"/>
      <sheetName val="Sheet4"/>
    </sheetNames>
    <sheetDataSet>
      <sheetData sheetId="1">
        <row r="15">
          <cell r="C15">
            <v>1</v>
          </cell>
        </row>
        <row r="16">
          <cell r="C16">
            <v>2</v>
          </cell>
        </row>
        <row r="17">
          <cell r="C17">
            <v>3</v>
          </cell>
        </row>
        <row r="18">
          <cell r="C1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fenvironment.org/cgi-bin/bin/user/advanced_query.pl" TargetMode="External" /><Relationship Id="rId2" Type="http://schemas.openxmlformats.org/officeDocument/2006/relationships/hyperlink" Target="http://www.mbayaq.org/cr/cr_seafoodwatch/download.asp" TargetMode="External" /><Relationship Id="rId3" Type="http://schemas.openxmlformats.org/officeDocument/2006/relationships/hyperlink" Target="http://www.epa.gov/cfl/cflcleanup.html"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5gyres.org/" TargetMode="External" /><Relationship Id="rId2" Type="http://schemas.openxmlformats.org/officeDocument/2006/relationships/drawing" Target="../drawings/drawing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erasecarbonfootprint.com/reduce-co2.html" TargetMode="External" /><Relationship Id="rId2" Type="http://schemas.openxmlformats.org/officeDocument/2006/relationships/hyperlink" Target="http://www.ci.emeryville.ca.us/DocumentView.aspx?DID=330" TargetMode="External" /><Relationship Id="rId3" Type="http://schemas.openxmlformats.org/officeDocument/2006/relationships/hyperlink" Target="http://reviews.cnet.com/green-tech/tv-power-efficiency/" TargetMode="External" /><Relationship Id="rId4" Type="http://schemas.openxmlformats.org/officeDocument/2006/relationships/hyperlink" Target="http://www.climateregistry.org/resources/docs/protocols/grp/GRP_3.1_January2009.pdf" TargetMode="External" /><Relationship Id="rId5" Type="http://schemas.openxmlformats.org/officeDocument/2006/relationships/comments" Target="../comments22.xml" /><Relationship Id="rId6" Type="http://schemas.openxmlformats.org/officeDocument/2006/relationships/vmlDrawing" Target="../drawings/vmlDrawing1.vml" /><Relationship Id="rId7"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edf.org/papercalculator/index.cfm?action=calculate&amp;mode=individual&amp;#wu" TargetMode="External" /><Relationship Id="rId2" Type="http://schemas.openxmlformats.org/officeDocument/2006/relationships/hyperlink" Target="http://www.edf.org/papercalculator/index.cfm?action=calculate&amp;mode=individual&amp;#tEC" TargetMode="External" /><Relationship Id="rId3" Type="http://schemas.openxmlformats.org/officeDocument/2006/relationships/hyperlink" Target="http://www.edf.org/papercalculator/index.cfm?action=calculate&amp;mode=individual&amp;#pEC" TargetMode="External" /><Relationship Id="rId4" Type="http://schemas.openxmlformats.org/officeDocument/2006/relationships/hyperlink" Target="http://www.edf.org/papercalculator/index.cfm?action=calculate&amp;mode=individual&amp;#trsPRAE" TargetMode="External" /><Relationship Id="rId5" Type="http://schemas.openxmlformats.org/officeDocument/2006/relationships/hyperlink" Target="http://www.edf.org/papercalculator/index.cfm?action=calculate&amp;mode=individual&amp;#vocPRAE" TargetMode="External" /><Relationship Id="rId6" Type="http://schemas.openxmlformats.org/officeDocument/2006/relationships/hyperlink" Target="http://www.edf.org/papercalculator/index.cfm?action=calculate&amp;mode=individual&amp;#hapPRAE" TargetMode="External" /><Relationship Id="rId7" Type="http://schemas.openxmlformats.org/officeDocument/2006/relationships/hyperlink" Target="http://www.edf.org/papercalculator/index.cfm?action=calculate&amp;mode=individual&amp;#pERAE" TargetMode="External" /><Relationship Id="rId8" Type="http://schemas.openxmlformats.org/officeDocument/2006/relationships/hyperlink" Target="http://www.edf.org/papercalculator/index.cfm?action=calculate&amp;mode=individual&amp;#noERAE" TargetMode="External" /><Relationship Id="rId9"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recharge-alkaline" TargetMode="External" /><Relationship Id="rId2" Type="http://schemas.openxmlformats.org/officeDocument/2006/relationships/hyperlink" Target="recharge-alkaline" TargetMode="External" /><Relationship Id="rId3" Type="http://schemas.openxmlformats.org/officeDocument/2006/relationships/hyperlink" Target="alkaline" TargetMode="External" /><Relationship Id="rId4" Type="http://schemas.openxmlformats.org/officeDocument/2006/relationships/hyperlink" Target="hicapcharger" TargetMode="External" /><Relationship Id="rId5" Type="http://schemas.openxmlformats.org/officeDocument/2006/relationships/hyperlink" Target="http://www.cadex.com/b_02_0_0_choice.asp" TargetMode="External" /><Relationship Id="rId6" Type="http://schemas.openxmlformats.org/officeDocument/2006/relationships/hyperlink" Target="http://michaelbluejay.com/batteries/" TargetMode="External" /><Relationship Id="rId7" Type="http://schemas.openxmlformats.org/officeDocument/2006/relationships/hyperlink" Target="hicapcharger" TargetMode="External" /><Relationship Id="rId8" Type="http://schemas.openxmlformats.org/officeDocument/2006/relationships/hyperlink" Target="hicapcharger"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theme="9" tint="0.39998000860214233"/>
  </sheetPr>
  <dimension ref="B1:B26"/>
  <sheetViews>
    <sheetView zoomScalePageLayoutView="0" workbookViewId="0" topLeftCell="A1">
      <selection activeCell="A1" sqref="A1"/>
    </sheetView>
  </sheetViews>
  <sheetFormatPr defaultColWidth="9.140625" defaultRowHeight="12.75"/>
  <cols>
    <col min="1" max="1" width="2.7109375" style="0" customWidth="1"/>
    <col min="2" max="2" width="27.421875" style="0" customWidth="1"/>
  </cols>
  <sheetData>
    <row r="1" ht="23.25">
      <c r="B1" s="1150" t="s">
        <v>403</v>
      </c>
    </row>
    <row r="3" ht="20.25">
      <c r="B3" s="1070" t="s">
        <v>916</v>
      </c>
    </row>
    <row r="4" ht="12.75">
      <c r="B4" s="400" t="s">
        <v>385</v>
      </c>
    </row>
    <row r="5" ht="12.75">
      <c r="B5" s="400" t="s">
        <v>384</v>
      </c>
    </row>
    <row r="6" ht="12.75">
      <c r="B6" s="400" t="s">
        <v>387</v>
      </c>
    </row>
    <row r="7" ht="12.75">
      <c r="B7" s="400" t="s">
        <v>386</v>
      </c>
    </row>
    <row r="8" ht="12.75">
      <c r="B8" s="400" t="s">
        <v>388</v>
      </c>
    </row>
    <row r="9" ht="12.75">
      <c r="B9" s="400" t="s">
        <v>389</v>
      </c>
    </row>
    <row r="10" ht="12.75">
      <c r="B10" s="400" t="s">
        <v>390</v>
      </c>
    </row>
    <row r="11" ht="12.75">
      <c r="B11" s="400" t="s">
        <v>391</v>
      </c>
    </row>
    <row r="12" ht="12.75">
      <c r="B12" s="400" t="s">
        <v>393</v>
      </c>
    </row>
    <row r="13" ht="12.75">
      <c r="B13" s="400" t="s">
        <v>392</v>
      </c>
    </row>
    <row r="14" ht="12.75">
      <c r="B14" s="1072"/>
    </row>
    <row r="24" ht="12.75">
      <c r="B24" s="1072"/>
    </row>
    <row r="25" ht="12.75">
      <c r="B25" s="166"/>
    </row>
    <row r="26" ht="12.75">
      <c r="B26" s="166"/>
    </row>
  </sheetData>
  <sheetProtection/>
  <hyperlinks>
    <hyperlink ref="B6" location="'CopyPaper Purchasing'!A1" display="3. White Paper Comparison"/>
    <hyperlink ref="B4" location="'Basic School Info'!A1" display="1. Basic School Info"/>
    <hyperlink ref="B5" location="'Tray Purchasing'!A1" display="2. Lunch Tray Comparison"/>
    <hyperlink ref="B7" location="'Alum Can Recycling'!A1" display="4. Aluminum Can Recycling"/>
    <hyperlink ref="B8" location="'Plastic Bottle Recycling'!A1" display="5. Plastic Bottle Recycling"/>
    <hyperlink ref="B9" location="'Paper Recycling'!A1" display="6. Paper Recycling"/>
    <hyperlink ref="B10" location="'Battery Intro'!A1" display="7. Battery Comparison"/>
    <hyperlink ref="B11" location="'Home Lighting Log'!A1" display="8. Home Lighting Comparison"/>
    <hyperlink ref="B12" location="'Litter Log'!A1" display="9. Waste Comparison"/>
    <hyperlink ref="B13" location="'Party Ware'!A1" display="10. Party Ware Comparison"/>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25">
    <tabColor rgb="FFF2F200"/>
  </sheetPr>
  <dimension ref="A1:Q97"/>
  <sheetViews>
    <sheetView zoomScalePageLayoutView="0" workbookViewId="0" topLeftCell="A1">
      <selection activeCell="A1" sqref="A1"/>
    </sheetView>
  </sheetViews>
  <sheetFormatPr defaultColWidth="11.421875" defaultRowHeight="12.75"/>
  <cols>
    <col min="1" max="1" width="21.140625" style="169" customWidth="1"/>
    <col min="2" max="5" width="7.421875" style="169" customWidth="1"/>
    <col min="6" max="6" width="13.421875" style="169" customWidth="1"/>
    <col min="7" max="7" width="12.00390625" style="169" customWidth="1"/>
    <col min="8" max="10" width="7.8515625" style="169" customWidth="1"/>
    <col min="11" max="12" width="15.421875" style="169" customWidth="1"/>
    <col min="13" max="14" width="14.421875" style="169" customWidth="1"/>
    <col min="15" max="17" width="7.421875" style="169" customWidth="1"/>
    <col min="18" max="16384" width="11.421875" style="169" customWidth="1"/>
  </cols>
  <sheetData>
    <row r="1" ht="15.75">
      <c r="A1" s="342" t="s">
        <v>100</v>
      </c>
    </row>
    <row r="2" spans="1:6" ht="39" customHeight="1">
      <c r="A2" s="1222" t="s">
        <v>99</v>
      </c>
      <c r="B2" s="1222"/>
      <c r="C2" s="1222"/>
      <c r="D2" s="1222"/>
      <c r="E2" s="1222"/>
      <c r="F2" s="1222"/>
    </row>
    <row r="3" spans="4:6" ht="12.75">
      <c r="D3" s="400"/>
      <c r="F3" s="173"/>
    </row>
    <row r="4" spans="1:6" ht="12.75">
      <c r="A4" s="456"/>
      <c r="B4" s="1248" t="s">
        <v>98</v>
      </c>
      <c r="C4" s="1249"/>
      <c r="D4" s="1249"/>
      <c r="E4" s="1250"/>
      <c r="F4" s="173"/>
    </row>
    <row r="5" spans="1:6" ht="53.25" customHeight="1">
      <c r="A5" s="456" t="s">
        <v>97</v>
      </c>
      <c r="B5" s="455" t="s">
        <v>96</v>
      </c>
      <c r="C5" s="455" t="s">
        <v>95</v>
      </c>
      <c r="D5" s="455" t="s">
        <v>94</v>
      </c>
      <c r="E5" s="455" t="s">
        <v>93</v>
      </c>
      <c r="F5" s="454" t="s">
        <v>92</v>
      </c>
    </row>
    <row r="6" spans="1:6" ht="12.75">
      <c r="A6" s="453" t="s">
        <v>91</v>
      </c>
      <c r="B6" s="452"/>
      <c r="C6" s="451">
        <v>2</v>
      </c>
      <c r="D6" s="451"/>
      <c r="E6" s="450"/>
      <c r="F6" s="449">
        <v>38</v>
      </c>
    </row>
    <row r="7" spans="1:6" ht="12.75">
      <c r="A7" s="448" t="s">
        <v>90</v>
      </c>
      <c r="B7" s="447"/>
      <c r="C7" s="446"/>
      <c r="D7" s="446">
        <v>4</v>
      </c>
      <c r="E7" s="445"/>
      <c r="F7" s="448">
        <v>3</v>
      </c>
    </row>
    <row r="8" spans="1:6" ht="12.75">
      <c r="A8" s="448" t="s">
        <v>89</v>
      </c>
      <c r="B8" s="447"/>
      <c r="C8" s="446"/>
      <c r="D8" s="446"/>
      <c r="E8" s="445">
        <v>4</v>
      </c>
      <c r="F8" s="444">
        <v>2</v>
      </c>
    </row>
    <row r="9" spans="1:6" ht="12.75">
      <c r="A9" s="448" t="s">
        <v>88</v>
      </c>
      <c r="B9" s="447">
        <v>2</v>
      </c>
      <c r="C9" s="446"/>
      <c r="D9" s="446"/>
      <c r="E9" s="445"/>
      <c r="F9" s="444">
        <v>38</v>
      </c>
    </row>
    <row r="10" spans="1:6" ht="12.75">
      <c r="A10" s="448" t="s">
        <v>87</v>
      </c>
      <c r="B10" s="447">
        <v>2</v>
      </c>
      <c r="C10" s="446"/>
      <c r="D10" s="446"/>
      <c r="E10" s="445"/>
      <c r="F10" s="444">
        <v>38</v>
      </c>
    </row>
    <row r="11" spans="1:6" ht="12.75">
      <c r="A11" s="448" t="s">
        <v>86</v>
      </c>
      <c r="B11" s="447"/>
      <c r="C11" s="446"/>
      <c r="D11" s="446">
        <v>4</v>
      </c>
      <c r="E11" s="445"/>
      <c r="F11" s="444">
        <v>1</v>
      </c>
    </row>
    <row r="12" spans="1:6" ht="12.75">
      <c r="A12" s="448"/>
      <c r="B12" s="447"/>
      <c r="C12" s="446"/>
      <c r="D12" s="446"/>
      <c r="E12" s="445"/>
      <c r="F12" s="444"/>
    </row>
    <row r="13" spans="1:6" ht="12.75">
      <c r="A13" s="448"/>
      <c r="B13" s="447"/>
      <c r="C13" s="446"/>
      <c r="D13" s="446"/>
      <c r="E13" s="445"/>
      <c r="F13" s="444"/>
    </row>
    <row r="14" spans="1:6" ht="12.75">
      <c r="A14" s="448"/>
      <c r="B14" s="447"/>
      <c r="C14" s="446"/>
      <c r="D14" s="446"/>
      <c r="E14" s="445"/>
      <c r="F14" s="444"/>
    </row>
    <row r="15" spans="1:6" ht="12.75">
      <c r="A15" s="448"/>
      <c r="B15" s="447"/>
      <c r="C15" s="446"/>
      <c r="D15" s="446"/>
      <c r="E15" s="445"/>
      <c r="F15" s="444"/>
    </row>
    <row r="16" spans="1:6" ht="12.75">
      <c r="A16" s="448"/>
      <c r="B16" s="447"/>
      <c r="C16" s="446"/>
      <c r="D16" s="446"/>
      <c r="E16" s="445"/>
      <c r="F16" s="444"/>
    </row>
    <row r="17" spans="1:6" ht="12.75">
      <c r="A17" s="448"/>
      <c r="B17" s="447"/>
      <c r="C17" s="446"/>
      <c r="D17" s="446"/>
      <c r="E17" s="445"/>
      <c r="F17" s="444"/>
    </row>
    <row r="18" spans="1:6" ht="12.75">
      <c r="A18" s="448"/>
      <c r="B18" s="447"/>
      <c r="C18" s="446"/>
      <c r="D18" s="446"/>
      <c r="E18" s="445"/>
      <c r="F18" s="444"/>
    </row>
    <row r="19" spans="1:6" ht="12.75">
      <c r="A19" s="448"/>
      <c r="B19" s="447"/>
      <c r="C19" s="446"/>
      <c r="D19" s="446"/>
      <c r="E19" s="445"/>
      <c r="F19" s="444"/>
    </row>
    <row r="20" spans="1:6" ht="12.75">
      <c r="A20" s="448"/>
      <c r="B20" s="447"/>
      <c r="C20" s="446"/>
      <c r="D20" s="446"/>
      <c r="E20" s="445"/>
      <c r="F20" s="444"/>
    </row>
    <row r="21" spans="1:6" ht="12.75">
      <c r="A21" s="443"/>
      <c r="B21" s="442"/>
      <c r="C21" s="441"/>
      <c r="D21" s="441"/>
      <c r="E21" s="440"/>
      <c r="F21" s="439"/>
    </row>
    <row r="22" spans="1:6" ht="12.75">
      <c r="A22" s="184"/>
      <c r="B22" s="184"/>
      <c r="C22" s="184"/>
      <c r="D22" s="184"/>
      <c r="E22" s="184"/>
      <c r="F22" s="184"/>
    </row>
    <row r="23" spans="1:6" ht="12.75">
      <c r="A23" s="184"/>
      <c r="B23" s="184"/>
      <c r="C23" s="184"/>
      <c r="D23" s="184"/>
      <c r="E23" s="184"/>
      <c r="F23" s="184"/>
    </row>
    <row r="24" spans="1:17" s="309" customFormat="1" ht="12.75">
      <c r="A24" s="184"/>
      <c r="B24" s="184"/>
      <c r="C24" s="184"/>
      <c r="D24" s="184"/>
      <c r="E24" s="184"/>
      <c r="F24" s="184"/>
      <c r="G24" s="169"/>
      <c r="H24" s="169"/>
      <c r="I24" s="169"/>
      <c r="J24" s="169"/>
      <c r="K24" s="169"/>
      <c r="L24" s="169"/>
      <c r="M24" s="184"/>
      <c r="N24" s="184"/>
      <c r="O24" s="184"/>
      <c r="P24" s="184"/>
      <c r="Q24" s="184"/>
    </row>
    <row r="25" spans="1:17" s="309" customFormat="1" ht="12.75">
      <c r="A25" s="184"/>
      <c r="B25" s="184"/>
      <c r="C25" s="184"/>
      <c r="D25" s="184"/>
      <c r="E25" s="184"/>
      <c r="F25" s="184"/>
      <c r="G25" s="169"/>
      <c r="H25" s="169"/>
      <c r="I25" s="169"/>
      <c r="J25" s="169"/>
      <c r="K25" s="169"/>
      <c r="L25" s="169"/>
      <c r="M25" s="184"/>
      <c r="N25" s="184"/>
      <c r="O25" s="184"/>
      <c r="P25" s="184"/>
      <c r="Q25" s="184"/>
    </row>
    <row r="31" spans="1:2" ht="12.75">
      <c r="A31" s="438"/>
      <c r="B31" s="438"/>
    </row>
    <row r="34" ht="51" customHeight="1"/>
    <row r="35" ht="25.5" customHeight="1"/>
    <row r="36" ht="25.5" customHeight="1"/>
    <row r="40" ht="18.75" customHeight="1"/>
    <row r="42" ht="18.75" customHeight="1"/>
    <row r="44" ht="22.5" customHeight="1"/>
    <row r="46" ht="22.5" customHeight="1"/>
    <row r="51" ht="22.5" customHeight="1"/>
    <row r="52" ht="22.5" customHeight="1"/>
    <row r="56" ht="22.5" customHeight="1"/>
    <row r="57" ht="56.25" customHeight="1"/>
    <row r="58" ht="51" customHeight="1"/>
    <row r="59" ht="12.75" customHeight="1"/>
    <row r="60" ht="25.5" customHeight="1"/>
    <row r="61" ht="33.75" customHeight="1"/>
    <row r="64" ht="150.75" customHeight="1"/>
    <row r="66" ht="84.75" customHeight="1"/>
    <row r="68" ht="155.25" customHeight="1"/>
    <row r="70" ht="141" customHeight="1"/>
    <row r="71" spans="1:2" ht="12.75">
      <c r="A71" s="400"/>
      <c r="B71" s="400"/>
    </row>
    <row r="73" spans="1:2" ht="12.75">
      <c r="A73" s="400"/>
      <c r="B73" s="400"/>
    </row>
    <row r="75" spans="1:2" ht="12.75">
      <c r="A75" s="437"/>
      <c r="B75" s="437"/>
    </row>
    <row r="77" spans="1:2" ht="12.75">
      <c r="A77" s="437"/>
      <c r="B77" s="437"/>
    </row>
    <row r="79" spans="1:2" ht="12.75">
      <c r="A79" s="400"/>
      <c r="B79" s="400"/>
    </row>
    <row r="81" spans="1:2" ht="12.75">
      <c r="A81" s="437"/>
      <c r="B81" s="437"/>
    </row>
    <row r="83" spans="1:2" ht="12.75">
      <c r="A83" s="435"/>
      <c r="B83" s="435"/>
    </row>
    <row r="85" spans="1:2" ht="12.75">
      <c r="A85" s="436"/>
      <c r="B85" s="436"/>
    </row>
    <row r="87" spans="1:2" ht="12.75">
      <c r="A87" s="436"/>
      <c r="B87" s="436"/>
    </row>
    <row r="89" spans="1:2" ht="12.75">
      <c r="A89" s="400"/>
      <c r="B89" s="400"/>
    </row>
    <row r="91" spans="1:2" ht="12.75">
      <c r="A91" s="435"/>
      <c r="B91" s="435"/>
    </row>
    <row r="93" spans="1:2" ht="12.75">
      <c r="A93" s="435"/>
      <c r="B93" s="435"/>
    </row>
    <row r="95" spans="1:2" ht="12.75">
      <c r="A95" s="400"/>
      <c r="B95" s="400"/>
    </row>
    <row r="97" spans="1:2" ht="12.75">
      <c r="A97" s="400"/>
      <c r="B97" s="400"/>
    </row>
  </sheetData>
  <sheetProtection/>
  <mergeCells count="2">
    <mergeCell ref="B4:E4"/>
    <mergeCell ref="A2:F2"/>
  </mergeCells>
  <dataValidations count="1">
    <dataValidation type="whole" allowBlank="1" showInputMessage="1" showErrorMessage="1" sqref="F6:F23">
      <formula1>0</formula1>
      <formula2>40</formula2>
    </dataValidation>
  </dataValidations>
  <printOptions headings="1"/>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6">
    <tabColor rgb="FFF2F200"/>
    <pageSetUpPr fitToPage="1"/>
  </sheetPr>
  <dimension ref="A1:AG35"/>
  <sheetViews>
    <sheetView zoomScalePageLayoutView="0" workbookViewId="0" topLeftCell="A1">
      <selection activeCell="A1" sqref="A1"/>
    </sheetView>
  </sheetViews>
  <sheetFormatPr defaultColWidth="11.421875" defaultRowHeight="12.75"/>
  <cols>
    <col min="1" max="1" width="26.00390625" style="169" customWidth="1"/>
    <col min="2" max="5" width="7.421875" style="169" customWidth="1"/>
    <col min="6" max="6" width="13.421875" style="169" customWidth="1"/>
    <col min="7" max="28" width="12.28125" style="169" customWidth="1"/>
    <col min="29" max="16384" width="11.421875" style="169" customWidth="1"/>
  </cols>
  <sheetData>
    <row r="1" ht="12.75">
      <c r="D1" s="400"/>
    </row>
    <row r="2" spans="1:33" ht="27" customHeight="1">
      <c r="A2" s="456"/>
      <c r="B2" s="1248" t="s">
        <v>98</v>
      </c>
      <c r="C2" s="1249"/>
      <c r="D2" s="1249"/>
      <c r="E2" s="1250"/>
      <c r="G2" s="1257" t="s">
        <v>117</v>
      </c>
      <c r="H2" s="1258"/>
      <c r="I2" s="1258"/>
      <c r="J2" s="1259"/>
      <c r="K2" s="544"/>
      <c r="L2" s="543"/>
      <c r="N2" s="1251" t="s">
        <v>116</v>
      </c>
      <c r="O2" s="1252"/>
      <c r="P2" s="1253"/>
      <c r="Q2" s="542"/>
      <c r="S2" s="1260" t="s">
        <v>115</v>
      </c>
      <c r="T2" s="1261"/>
      <c r="U2" s="1261"/>
      <c r="V2" s="1262"/>
      <c r="X2" s="1260" t="s">
        <v>114</v>
      </c>
      <c r="Y2" s="1261"/>
      <c r="Z2" s="1261"/>
      <c r="AA2" s="1262"/>
      <c r="AD2" s="1254" t="s">
        <v>113</v>
      </c>
      <c r="AE2" s="1255"/>
      <c r="AF2" s="1256"/>
      <c r="AG2" s="542"/>
    </row>
    <row r="3" spans="1:33" ht="73.5" customHeight="1">
      <c r="A3" s="456" t="s">
        <v>97</v>
      </c>
      <c r="B3" s="541" t="s">
        <v>96</v>
      </c>
      <c r="C3" s="540" t="s">
        <v>95</v>
      </c>
      <c r="D3" s="540" t="s">
        <v>94</v>
      </c>
      <c r="E3" s="539" t="s">
        <v>93</v>
      </c>
      <c r="F3" s="538" t="s">
        <v>112</v>
      </c>
      <c r="G3" s="537" t="s">
        <v>96</v>
      </c>
      <c r="H3" s="536" t="s">
        <v>95</v>
      </c>
      <c r="I3" s="536" t="s">
        <v>94</v>
      </c>
      <c r="J3" s="535" t="s">
        <v>93</v>
      </c>
      <c r="K3" s="534" t="s">
        <v>108</v>
      </c>
      <c r="L3" s="533" t="s">
        <v>111</v>
      </c>
      <c r="M3" s="532" t="s">
        <v>110</v>
      </c>
      <c r="N3" s="531" t="s">
        <v>105</v>
      </c>
      <c r="O3" s="530" t="s">
        <v>104</v>
      </c>
      <c r="P3" s="529" t="s">
        <v>103</v>
      </c>
      <c r="Q3" s="528" t="s">
        <v>102</v>
      </c>
      <c r="R3" s="527" t="s">
        <v>109</v>
      </c>
      <c r="S3" s="526" t="s">
        <v>96</v>
      </c>
      <c r="T3" s="526" t="s">
        <v>95</v>
      </c>
      <c r="U3" s="526" t="s">
        <v>94</v>
      </c>
      <c r="V3" s="526" t="s">
        <v>93</v>
      </c>
      <c r="W3" s="526" t="s">
        <v>108</v>
      </c>
      <c r="X3" s="526" t="s">
        <v>96</v>
      </c>
      <c r="Y3" s="526" t="s">
        <v>95</v>
      </c>
      <c r="Z3" s="526" t="s">
        <v>94</v>
      </c>
      <c r="AA3" s="526" t="s">
        <v>93</v>
      </c>
      <c r="AB3" s="526" t="s">
        <v>107</v>
      </c>
      <c r="AC3" s="522" t="s">
        <v>106</v>
      </c>
      <c r="AD3" s="525" t="s">
        <v>105</v>
      </c>
      <c r="AE3" s="524" t="s">
        <v>104</v>
      </c>
      <c r="AF3" s="523" t="s">
        <v>103</v>
      </c>
      <c r="AG3" s="522" t="s">
        <v>102</v>
      </c>
    </row>
    <row r="4" spans="1:33" ht="12.75">
      <c r="A4" s="521" t="str">
        <f>'Battery Classroom Log'!A6</f>
        <v>flashlight</v>
      </c>
      <c r="B4" s="520">
        <f>'Battery Classroom Log'!B6</f>
        <v>0</v>
      </c>
      <c r="C4" s="519">
        <f>'Battery Classroom Log'!C6</f>
        <v>2</v>
      </c>
      <c r="D4" s="519">
        <f>'Battery Classroom Log'!D6</f>
        <v>0</v>
      </c>
      <c r="E4" s="518">
        <f>'Battery Classroom Log'!E6</f>
        <v>0</v>
      </c>
      <c r="F4" s="517">
        <f>'Battery Classroom Log'!F6</f>
        <v>38</v>
      </c>
      <c r="G4" s="516">
        <f aca="true" t="shared" si="0" ref="G4:G19">IF(F4=0,0,B4*(38/$F4))</f>
        <v>0</v>
      </c>
      <c r="H4" s="515">
        <f aca="true" t="shared" si="1" ref="H4:H19">IF(F4=0,0,C4*(38/$F4))</f>
        <v>2</v>
      </c>
      <c r="I4" s="515">
        <f aca="true" t="shared" si="2" ref="I4:I19">IF(F4=0,0,D4*(38/$F4))</f>
        <v>0</v>
      </c>
      <c r="J4" s="514">
        <f>IF(F4=0,0,E4*(38/$F4))</f>
        <v>0</v>
      </c>
      <c r="K4" s="513">
        <f>($G4*Conversions!$K$205)+($H4*Conversions!$K$210)+($I4*Conversions!$K$216)+($J4*Conversions!$K$221)</f>
        <v>2.245</v>
      </c>
      <c r="L4" s="512">
        <f>((G4*Conversions!$D$205)+(H4*Conversions!$D$210)+(I4*Conversions!$D$216)+(J4*Conversions!$D$221))/1000</f>
        <v>0.0052</v>
      </c>
      <c r="M4" s="503">
        <f>L4*Conversions!$B$195/Conversions!$B$148</f>
        <v>1.4766265012328001</v>
      </c>
      <c r="N4" s="505">
        <f>$M4*Conversions!$B$175/Conversions!$B$146</f>
        <v>1.2599686390431841</v>
      </c>
      <c r="O4" s="504">
        <f>$M4*Conversions!$B$176/Conversions!$B$146</f>
        <v>1.1719455079101265E-05</v>
      </c>
      <c r="P4" s="503">
        <f>$M4*Conversions!$B$177/Conversions!$B$146</f>
        <v>5.631849246345885E-05</v>
      </c>
      <c r="Q4" s="505">
        <f>N4+(O4*Conversions!$B$160)+('Battery Calc'!P4*Conversions!$B$161)</f>
        <v>1.2770445361742724</v>
      </c>
      <c r="R4" s="502">
        <f>($G4*Conversions!$J$205)+($H4*Conversions!$J$210)+('Battery Calc'!$I4*Conversions!$J$216)+('Battery Calc'!$J4*Conversions!$J$221)</f>
        <v>0.21781671503865907</v>
      </c>
      <c r="S4" s="505">
        <f>IF(AND(G4&gt;0,G4&lt;Conversions!$B$197),1,IF(G4&gt;=Conversions!$B$197,2,0))</f>
        <v>0</v>
      </c>
      <c r="T4" s="504">
        <f>IF(AND(H4&gt;0,H4&lt;Conversions!$B$197),1,IF(H4&gt;=Conversions!$B$197,2,0))</f>
        <v>1</v>
      </c>
      <c r="U4" s="504">
        <f>IF(AND(I4&gt;0,I4&lt;Conversions!$B$197),1,IF(I4&gt;=Conversions!$B$197,2,0))</f>
        <v>0</v>
      </c>
      <c r="V4" s="511">
        <f>IF(AND(J4&gt;0,J4&lt;Conversions!$B$197),1,IF(J4&gt;=Conversions!$B$197,2,0))</f>
        <v>0</v>
      </c>
      <c r="W4" s="507">
        <f>($S4*Conversions!$K$208)+($T4*Conversions!$K$213)+($U4*Conversions!$K$219)+($V4*Conversions!$K$224)</f>
        <v>3.2475</v>
      </c>
      <c r="X4" s="510">
        <f>IF($G4=0,0,$L4/(Conversions!$D$208/1000))</f>
        <v>0</v>
      </c>
      <c r="Y4" s="509">
        <f>IF($H4=0,0,$L4/(Conversions!$D$213/1000))</f>
        <v>2.0634920634920633</v>
      </c>
      <c r="Z4" s="509">
        <f>IF($I4=0,0,$L4/(Conversions!$D$219/1000))</f>
        <v>0</v>
      </c>
      <c r="AA4" s="508">
        <f>IF($J4=0,0,$L4/(Conversions!$D$224/1000))</f>
        <v>0</v>
      </c>
      <c r="AB4" s="507">
        <f>(X4*Conversions!$B$200*Conversions!$B$199)+(Y4*Conversions!$B$200*Conversions!$B$199)+(Z4*Conversions!$B$200*Conversions!$B$199)+(AA4*Conversions!$B$200*Conversions!$B$199)</f>
        <v>0.004126984126984127</v>
      </c>
      <c r="AC4" s="506">
        <f>L4*Conversions!$B$196/Conversions!$B$148</f>
        <v>0.05169808319414618</v>
      </c>
      <c r="AD4" s="505">
        <f>$AC4*Conversions!$B$175/Conversions!$B$146</f>
        <v>0.04411268758138063</v>
      </c>
      <c r="AE4" s="504">
        <f>$AC4*Conversions!$B$176/Conversions!$B$146</f>
        <v>4.103091493777248E-07</v>
      </c>
      <c r="AF4" s="503">
        <f>$AC4*Conversions!$B$177/Conversions!$B$146</f>
        <v>1.9717634122873997E-06</v>
      </c>
      <c r="AG4" s="502">
        <f>AD4+(AE4*Conversions!$B$160)+('Battery Calc'!AF4*Conversions!$B$161)</f>
        <v>0.04471053080697671</v>
      </c>
    </row>
    <row r="5" spans="1:33" ht="12.75">
      <c r="A5" s="501" t="str">
        <f>'Battery Classroom Log'!A7</f>
        <v>radio control car</v>
      </c>
      <c r="B5" s="500">
        <f>'Battery Classroom Log'!B7</f>
        <v>0</v>
      </c>
      <c r="C5" s="499">
        <f>'Battery Classroom Log'!C7</f>
        <v>0</v>
      </c>
      <c r="D5" s="499">
        <f>'Battery Classroom Log'!D7</f>
        <v>4</v>
      </c>
      <c r="E5" s="498">
        <f>'Battery Classroom Log'!E7</f>
        <v>0</v>
      </c>
      <c r="F5" s="497">
        <f>'Battery Classroom Log'!F7</f>
        <v>3</v>
      </c>
      <c r="G5" s="496">
        <f t="shared" si="0"/>
        <v>0</v>
      </c>
      <c r="H5" s="495">
        <f t="shared" si="1"/>
        <v>0</v>
      </c>
      <c r="I5" s="495">
        <f t="shared" si="2"/>
        <v>50.666666666666664</v>
      </c>
      <c r="J5" s="494">
        <f aca="true" t="shared" si="3" ref="J5:J19">IF(F5=0,0,E5*(38/$F5))</f>
        <v>0</v>
      </c>
      <c r="K5" s="493">
        <f>(G5*Conversions!$K$205)+(H5*Conversions!$K$210)+(I5*Conversions!$K$216)+(J5*Conversions!$K$221)</f>
        <v>60.67333333333333</v>
      </c>
      <c r="L5" s="492">
        <f>((G5*Conversions!$D$205)+(H5*Conversions!$D$210)+(I5*Conversions!$D$216)+(J5*Conversions!$D$221))/1000</f>
        <v>0.4843733333333333</v>
      </c>
      <c r="M5" s="484">
        <f>L5*Conversions!$B$195/Conversions!$B$148</f>
        <v>137.54586547893632</v>
      </c>
      <c r="N5" s="486">
        <f>$M5*Conversions!$B$175/Conversions!$B$146</f>
        <v>117.36446338246358</v>
      </c>
      <c r="O5" s="485">
        <f>$M5*Conversions!$B$176/Conversions!$B$146</f>
        <v>0.001091652215675874</v>
      </c>
      <c r="P5" s="484">
        <f>$M5*Conversions!$B$177/Conversions!$B$146</f>
        <v>0.005245995369775726</v>
      </c>
      <c r="Q5" s="486">
        <f>N5+(O5*Conversions!$B$160)+('Battery Calc'!P5*Conversions!$B$161)</f>
        <v>118.95506130804864</v>
      </c>
      <c r="R5" s="483">
        <f>($G5*Conversions!$J$205)+($H5*Conversions!$J$210)+('Battery Calc'!$I5*Conversions!$J$216)+('Battery Calc'!$J5*Conversions!$J$221)</f>
        <v>20.289347753652322</v>
      </c>
      <c r="S5" s="486">
        <f>IF(AND(G5&gt;0,G5&lt;Conversions!$B$197),1,IF(G5&gt;=Conversions!$B$197,2,0))</f>
        <v>0</v>
      </c>
      <c r="T5" s="485">
        <f>IF(AND(H5&gt;0,H5&lt;Conversions!$B$197),1,IF(H5&gt;=Conversions!$B$197,2,0))</f>
        <v>0</v>
      </c>
      <c r="U5" s="485">
        <f>IF(AND(I5&gt;0,I5&lt;Conversions!$B$197),1,IF(I5&gt;=Conversions!$B$197,2,0))</f>
        <v>1</v>
      </c>
      <c r="V5" s="491">
        <f>IF(AND(J5&gt;0,J5&lt;Conversions!$B$197),1,IF(J5&gt;=Conversions!$B$197,2,0))</f>
        <v>0</v>
      </c>
      <c r="W5" s="488">
        <f>($S5*Conversions!$K$208)+($T5*Conversions!$K$213)+($U5*Conversions!$K$219)+($V5*Conversions!$K$224)</f>
        <v>4.225</v>
      </c>
      <c r="X5" s="490">
        <f>IF($G5=0,0,$L5/(Conversions!$D$208/1000))</f>
        <v>0</v>
      </c>
      <c r="Y5" s="292">
        <f>IF($H5=0,0,$L5/(Conversions!$D$213/1000))</f>
        <v>0</v>
      </c>
      <c r="Z5" s="292">
        <f>IF($I5=0,0,$L5/(Conversions!$D$219/1000))</f>
        <v>89.69876543209875</v>
      </c>
      <c r="AA5" s="489">
        <f>IF($J5=0,0,$L5/(Conversions!$D$224/1000))</f>
        <v>0</v>
      </c>
      <c r="AB5" s="488">
        <f>(X5*Conversions!$B$200*Conversions!$B$199)+(Y5*Conversions!$B$200*Conversions!$B$199)+(Z5*Conversions!$B$200*Conversions!$B$199)+(AA5*Conversions!$B$200*Conversions!$B$199)</f>
        <v>0.17939753086419752</v>
      </c>
      <c r="AC5" s="487">
        <f>L5*Conversions!$B$196/Conversions!$B$148</f>
        <v>4.815610169940878</v>
      </c>
      <c r="AD5" s="486">
        <f>$AC5*Conversions!$B$175/Conversions!$B$146</f>
        <v>4.109040293477937</v>
      </c>
      <c r="AE5" s="485">
        <f>$AC5*Conversions!$B$176/Conversions!$B$146</f>
        <v>3.8219771227164076E-05</v>
      </c>
      <c r="AF5" s="484">
        <f>$AC5*Conversions!$B$177/Conversions!$B$146</f>
        <v>0.0001836672339527607</v>
      </c>
      <c r="AG5" s="483">
        <f>AD5+(AE5*Conversions!$B$160)+('Battery Calc'!AF5*Conversions!$B$161)</f>
        <v>4.164728623476539</v>
      </c>
    </row>
    <row r="6" spans="1:33" ht="12.75">
      <c r="A6" s="501" t="str">
        <f>'Battery Classroom Log'!A8</f>
        <v>Portable Boom Box</v>
      </c>
      <c r="B6" s="500">
        <f>'Battery Classroom Log'!B8</f>
        <v>0</v>
      </c>
      <c r="C6" s="499">
        <f>'Battery Classroom Log'!C8</f>
        <v>0</v>
      </c>
      <c r="D6" s="499">
        <f>'Battery Classroom Log'!D8</f>
        <v>0</v>
      </c>
      <c r="E6" s="498">
        <f>'Battery Classroom Log'!E8</f>
        <v>4</v>
      </c>
      <c r="F6" s="497">
        <f>'Battery Classroom Log'!F8</f>
        <v>2</v>
      </c>
      <c r="G6" s="496">
        <f t="shared" si="0"/>
        <v>0</v>
      </c>
      <c r="H6" s="495">
        <f t="shared" si="1"/>
        <v>0</v>
      </c>
      <c r="I6" s="495">
        <f t="shared" si="2"/>
        <v>0</v>
      </c>
      <c r="J6" s="494">
        <f t="shared" si="3"/>
        <v>76</v>
      </c>
      <c r="K6" s="493">
        <f>(G6*Conversions!$K$205)+(H6*Conversions!$K$210)+(I6*Conversions!$K$216)+(J6*Conversions!$K$221)</f>
        <v>91.01</v>
      </c>
      <c r="L6" s="492">
        <f>((G6*Conversions!$D$205)+(H6*Conversions!$D$210)+(I6*Conversions!$D$216)+(J6*Conversions!$D$221))/1000</f>
        <v>1.5830799999999998</v>
      </c>
      <c r="M6" s="484">
        <f>L6*Conversions!$B$195/Conversions!$B$148</f>
        <v>449.54190030223486</v>
      </c>
      <c r="N6" s="486">
        <f>$M6*Conversions!$B$175/Conversions!$B$146</f>
        <v>383.5829140570161</v>
      </c>
      <c r="O6" s="485">
        <f>$M6*Conversions!$B$176/Conversions!$B$146</f>
        <v>0.003567852874350698</v>
      </c>
      <c r="P6" s="484">
        <f>$M6*Conversions!$B$177/Conversions!$B$146</f>
        <v>0.017145515201740853</v>
      </c>
      <c r="Q6" s="486">
        <f>N6+(O6*Conversions!$B$160)+('Battery Calc'!P6*Conversions!$B$161)</f>
        <v>388.7814739089937</v>
      </c>
      <c r="R6" s="483">
        <f>($G6*Conversions!$J$205)+($H6*Conversions!$J$210)+('Battery Calc'!$I6*Conversions!$J$216)+('Battery Calc'!$J6*Conversions!$J$221)</f>
        <v>66.31178562373083</v>
      </c>
      <c r="S6" s="486">
        <f>IF(AND(G6&gt;0,G6&lt;Conversions!$B$197),1,IF(G6&gt;=Conversions!$B$197,2,0))</f>
        <v>0</v>
      </c>
      <c r="T6" s="485">
        <f>IF(AND(H6&gt;0,H6&lt;Conversions!$B$197),1,IF(H6&gt;=Conversions!$B$197,2,0))</f>
        <v>0</v>
      </c>
      <c r="U6" s="485">
        <f>IF(AND(I6&gt;0,I6&lt;Conversions!$B$197),1,IF(I6&gt;=Conversions!$B$197,2,0))</f>
        <v>0</v>
      </c>
      <c r="V6" s="491">
        <f>IF(AND(J6&gt;0,J6&lt;Conversions!$B$197),1,IF(J6&gt;=Conversions!$B$197,2,0))</f>
        <v>1</v>
      </c>
      <c r="W6" s="488">
        <f>($S6*Conversions!$K$208)+($T6*Conversions!$K$213)+($U6*Conversions!$K$219)+($V6*Conversions!$K$224)</f>
        <v>4.6725</v>
      </c>
      <c r="X6" s="490">
        <f>IF($G6=0,0,$L6/(Conversions!$D$208/1000))</f>
        <v>0</v>
      </c>
      <c r="Y6" s="292">
        <f>IF($H6=0,0,$L6/(Conversions!$D$213/1000))</f>
        <v>0</v>
      </c>
      <c r="Z6" s="292">
        <f>IF($I6=0,0,$L6/(Conversions!$D$219/1000))</f>
        <v>0</v>
      </c>
      <c r="AA6" s="489">
        <f>IF($J6=0,0,$L6/(Conversions!$D$224/1000))</f>
        <v>138.86666666666665</v>
      </c>
      <c r="AB6" s="488">
        <f>(X6*Conversions!$B$200*Conversions!$B$199)+(Y6*Conversions!$B$200*Conversions!$B$199)+(Z6*Conversions!$B$200*Conversions!$B$199)+(AA6*Conversions!$B$200*Conversions!$B$199)</f>
        <v>0.27773333333333333</v>
      </c>
      <c r="AC6" s="487">
        <f>L6*Conversions!$B$196/Conversions!$B$148</f>
        <v>15.738884912113257</v>
      </c>
      <c r="AD6" s="486">
        <f>$AC6*Conversions!$B$175/Conversions!$B$146</f>
        <v>13.429598741602318</v>
      </c>
      <c r="AE6" s="485">
        <f>$AC6*Conversions!$B$176/Conversions!$B$146</f>
        <v>0.00012491388619170936</v>
      </c>
      <c r="AF6" s="484">
        <f>$AC6*Conversions!$B$177/Conversions!$B$146</f>
        <v>0.0006002806197546032</v>
      </c>
      <c r="AG6" s="483">
        <f>AD6+(AE6*Conversions!$B$160)+('Battery Calc'!AF6*Conversions!$B$161)</f>
        <v>13.611605213443982</v>
      </c>
    </row>
    <row r="7" spans="1:33" ht="12.75">
      <c r="A7" s="501" t="str">
        <f>'Battery Classroom Log'!A9</f>
        <v>TV remote control</v>
      </c>
      <c r="B7" s="500">
        <f>'Battery Classroom Log'!B9</f>
        <v>2</v>
      </c>
      <c r="C7" s="499">
        <f>'Battery Classroom Log'!C9</f>
        <v>0</v>
      </c>
      <c r="D7" s="499">
        <f>'Battery Classroom Log'!D9</f>
        <v>0</v>
      </c>
      <c r="E7" s="498">
        <f>'Battery Classroom Log'!E9</f>
        <v>0</v>
      </c>
      <c r="F7" s="497">
        <f>'Battery Classroom Log'!F9</f>
        <v>38</v>
      </c>
      <c r="G7" s="496">
        <f t="shared" si="0"/>
        <v>2</v>
      </c>
      <c r="H7" s="495">
        <f t="shared" si="1"/>
        <v>0</v>
      </c>
      <c r="I7" s="495">
        <f t="shared" si="2"/>
        <v>0</v>
      </c>
      <c r="J7" s="494">
        <f t="shared" si="3"/>
        <v>0</v>
      </c>
      <c r="K7" s="493">
        <f>(G7*Conversions!$K$205)+(H7*Conversions!$K$210)+(I7*Conversions!$K$216)+(J7*Conversions!$K$221)</f>
        <v>2.245</v>
      </c>
      <c r="L7" s="492">
        <f>((G7*Conversions!$D$205)+(H7*Conversions!$D$210)+(I7*Conversions!$D$216)+(J7*Conversions!$D$221))/1000</f>
        <v>0.00282</v>
      </c>
      <c r="M7" s="484">
        <f>L7*Conversions!$B$195/Conversions!$B$148</f>
        <v>0.8007859102839417</v>
      </c>
      <c r="N7" s="486">
        <f>$M7*Conversions!$B$175/Conversions!$B$146</f>
        <v>0.683290685019573</v>
      </c>
      <c r="O7" s="485">
        <f>$M7*Conversions!$B$176/Conversions!$B$146</f>
        <v>6.355550639051072E-06</v>
      </c>
      <c r="P7" s="484">
        <f>$M7*Conversions!$B$177/Conversions!$B$146</f>
        <v>3.054195168210654E-05</v>
      </c>
      <c r="Q7" s="486">
        <f>N7+(O7*Conversions!$B$160)+('Battery Calc'!P7*Conversions!$B$161)</f>
        <v>0.692551075386817</v>
      </c>
      <c r="R7" s="483">
        <f>($G7*Conversions!$J$205)+($H7*Conversions!$J$210)+('Battery Calc'!$I7*Conversions!$J$216)+('Battery Calc'!$J7*Conversions!$J$221)</f>
        <v>0.1181236800786574</v>
      </c>
      <c r="S7" s="486">
        <f>IF(AND(G7&gt;0,G7&lt;Conversions!$B$197),1,IF(G7&gt;=Conversions!$B$197,2,0))</f>
        <v>1</v>
      </c>
      <c r="T7" s="485">
        <f>IF(AND(H7&gt;0,H7&lt;Conversions!$B$197),1,IF(H7&gt;=Conversions!$B$197,2,0))</f>
        <v>0</v>
      </c>
      <c r="U7" s="485">
        <f>IF(AND(I7&gt;0,I7&lt;Conversions!$B$197),1,IF(I7&gt;=Conversions!$B$197,2,0))</f>
        <v>0</v>
      </c>
      <c r="V7" s="491">
        <f>IF(AND(J7&gt;0,J7&lt;Conversions!$B$197),1,IF(J7&gt;=Conversions!$B$197,2,0))</f>
        <v>0</v>
      </c>
      <c r="W7" s="488">
        <f>($S7*Conversions!$K$208)+($T7*Conversions!$K$213)+($U7*Conversions!$K$219)+($V7*Conversions!$K$224)</f>
        <v>3.2475</v>
      </c>
      <c r="X7" s="490">
        <f>IF($G7=0,0,$L7/(Conversions!$D$208/1000))</f>
        <v>2.9375000000000004</v>
      </c>
      <c r="Y7" s="292">
        <f>IF($H7=0,0,$L7/(Conversions!$D$213/1000))</f>
        <v>0</v>
      </c>
      <c r="Z7" s="292">
        <f>IF($I7=0,0,$L7/(Conversions!$D$219/1000))</f>
        <v>0</v>
      </c>
      <c r="AA7" s="489">
        <f>IF($J7=0,0,$L7/(Conversions!$D$224/1000))</f>
        <v>0</v>
      </c>
      <c r="AB7" s="488">
        <f>(X7*Conversions!$B$200*Conversions!$B$199)+(Y7*Conversions!$B$200*Conversions!$B$199)+(Z7*Conversions!$B$200*Conversions!$B$199)+(AA7*Conversions!$B$200*Conversions!$B$199)</f>
        <v>0.005875000000000002</v>
      </c>
      <c r="AC7" s="487">
        <f>L7*Conversions!$B$196/Conversions!$B$148</f>
        <v>0.028036268193748506</v>
      </c>
      <c r="AD7" s="486">
        <f>$AC7*Conversions!$B$175/Conversions!$B$146</f>
        <v>0.023922649803748728</v>
      </c>
      <c r="AE7" s="485">
        <f>$AC7*Conversions!$B$176/Conversions!$B$146</f>
        <v>2.225138079317662E-07</v>
      </c>
      <c r="AF7" s="484">
        <f>$AC7*Conversions!$B$177/Conversions!$B$146</f>
        <v>1.0693024658943207E-06</v>
      </c>
      <c r="AG7" s="483">
        <f>AD7+(AE7*Conversions!$B$160)+('Battery Calc'!AF7*Conversions!$B$161)</f>
        <v>0.02424686478378353</v>
      </c>
    </row>
    <row r="8" spans="1:33" ht="12.75">
      <c r="A8" s="501" t="str">
        <f>'Battery Classroom Log'!A10</f>
        <v>Boom Box remote control</v>
      </c>
      <c r="B8" s="500">
        <f>'Battery Classroom Log'!B10</f>
        <v>2</v>
      </c>
      <c r="C8" s="499">
        <f>'Battery Classroom Log'!C10</f>
        <v>0</v>
      </c>
      <c r="D8" s="499">
        <f>'Battery Classroom Log'!D10</f>
        <v>0</v>
      </c>
      <c r="E8" s="498">
        <f>'Battery Classroom Log'!E10</f>
        <v>0</v>
      </c>
      <c r="F8" s="497">
        <f>'Battery Classroom Log'!F10</f>
        <v>38</v>
      </c>
      <c r="G8" s="496">
        <f t="shared" si="0"/>
        <v>2</v>
      </c>
      <c r="H8" s="495">
        <f t="shared" si="1"/>
        <v>0</v>
      </c>
      <c r="I8" s="495">
        <f t="shared" si="2"/>
        <v>0</v>
      </c>
      <c r="J8" s="494">
        <f t="shared" si="3"/>
        <v>0</v>
      </c>
      <c r="K8" s="493">
        <f>(G8*Conversions!$K$205)+(H8*Conversions!$K$210)+(I8*Conversions!$K$216)+(J8*Conversions!$K$221)</f>
        <v>2.245</v>
      </c>
      <c r="L8" s="492">
        <f>((G8*Conversions!$D$205)+(H8*Conversions!$D$210)+(I8*Conversions!$D$216)+(J8*Conversions!$D$221))/1000</f>
        <v>0.00282</v>
      </c>
      <c r="M8" s="484">
        <f>L8*Conversions!$B$195/Conversions!$B$148</f>
        <v>0.8007859102839417</v>
      </c>
      <c r="N8" s="486">
        <f>$M8*Conversions!$B$175/Conversions!$B$146</f>
        <v>0.683290685019573</v>
      </c>
      <c r="O8" s="485">
        <f>$M8*Conversions!$B$176/Conversions!$B$146</f>
        <v>6.355550639051072E-06</v>
      </c>
      <c r="P8" s="484">
        <f>$M8*Conversions!$B$177/Conversions!$B$146</f>
        <v>3.054195168210654E-05</v>
      </c>
      <c r="Q8" s="486">
        <f>N8+(O8*Conversions!$B$160)+('Battery Calc'!P8*Conversions!$B$161)</f>
        <v>0.692551075386817</v>
      </c>
      <c r="R8" s="483">
        <f>($G8*Conversions!$J$205)+($H8*Conversions!$J$210)+('Battery Calc'!$I8*Conversions!$J$216)+('Battery Calc'!$J8*Conversions!$J$221)</f>
        <v>0.1181236800786574</v>
      </c>
      <c r="S8" s="486">
        <f>IF(AND(G8&gt;0,G8&lt;Conversions!$B$197),1,IF(G8&gt;=Conversions!$B$197,2,0))</f>
        <v>1</v>
      </c>
      <c r="T8" s="485">
        <f>IF(AND(H8&gt;0,H8&lt;Conversions!$B$197),1,IF(H8&gt;=Conversions!$B$197,2,0))</f>
        <v>0</v>
      </c>
      <c r="U8" s="485">
        <f>IF(AND(I8&gt;0,I8&lt;Conversions!$B$197),1,IF(I8&gt;=Conversions!$B$197,2,0))</f>
        <v>0</v>
      </c>
      <c r="V8" s="491">
        <f>IF(AND(J8&gt;0,J8&lt;Conversions!$B$197),1,IF(J8&gt;=Conversions!$B$197,2,0))</f>
        <v>0</v>
      </c>
      <c r="W8" s="488">
        <f>($S8*Conversions!$K$208)+($T8*Conversions!$K$213)+($U8*Conversions!$K$219)+($V8*Conversions!$K$224)</f>
        <v>3.2475</v>
      </c>
      <c r="X8" s="490">
        <f>IF($G8=0,0,$L8/(Conversions!$D$208/1000))</f>
        <v>2.9375000000000004</v>
      </c>
      <c r="Y8" s="292">
        <f>IF($H8=0,0,$L8/(Conversions!$D$213/1000))</f>
        <v>0</v>
      </c>
      <c r="Z8" s="292">
        <f>IF($I8=0,0,$L8/(Conversions!$D$219/1000))</f>
        <v>0</v>
      </c>
      <c r="AA8" s="489">
        <f>IF($J8=0,0,$L8/(Conversions!$D$224/1000))</f>
        <v>0</v>
      </c>
      <c r="AB8" s="488">
        <f>(X8*Conversions!$B$200*Conversions!$B$199)+(Y8*Conversions!$B$200*Conversions!$B$199)+(Z8*Conversions!$B$200*Conversions!$B$199)+(AA8*Conversions!$B$200*Conversions!$B$199)</f>
        <v>0.005875000000000002</v>
      </c>
      <c r="AC8" s="487">
        <f>L8*Conversions!$B$196/Conversions!$B$148</f>
        <v>0.028036268193748506</v>
      </c>
      <c r="AD8" s="486">
        <f>$AC8*Conversions!$B$175/Conversions!$B$146</f>
        <v>0.023922649803748728</v>
      </c>
      <c r="AE8" s="485">
        <f>$AC8*Conversions!$B$176/Conversions!$B$146</f>
        <v>2.225138079317662E-07</v>
      </c>
      <c r="AF8" s="484">
        <f>$AC8*Conversions!$B$177/Conversions!$B$146</f>
        <v>1.0693024658943207E-06</v>
      </c>
      <c r="AG8" s="483">
        <f>AD8+(AE8*Conversions!$B$160)+('Battery Calc'!AF8*Conversions!$B$161)</f>
        <v>0.02424686478378353</v>
      </c>
    </row>
    <row r="9" spans="1:33" ht="12.75">
      <c r="A9" s="501" t="str">
        <f>'Battery Classroom Log'!A11</f>
        <v>temp</v>
      </c>
      <c r="B9" s="500">
        <f>'Battery Classroom Log'!B11</f>
        <v>0</v>
      </c>
      <c r="C9" s="499">
        <f>'Battery Classroom Log'!C11</f>
        <v>0</v>
      </c>
      <c r="D9" s="499">
        <f>'Battery Classroom Log'!D11</f>
        <v>4</v>
      </c>
      <c r="E9" s="498">
        <f>'Battery Classroom Log'!E11</f>
        <v>0</v>
      </c>
      <c r="F9" s="497">
        <f>'Battery Classroom Log'!F11</f>
        <v>1</v>
      </c>
      <c r="G9" s="496">
        <f t="shared" si="0"/>
        <v>0</v>
      </c>
      <c r="H9" s="495">
        <f t="shared" si="1"/>
        <v>0</v>
      </c>
      <c r="I9" s="495">
        <f t="shared" si="2"/>
        <v>152</v>
      </c>
      <c r="J9" s="494">
        <f t="shared" si="3"/>
        <v>0</v>
      </c>
      <c r="K9" s="493">
        <f>(G9*Conversions!$K$205)+(H9*Conversions!$K$210)+(I9*Conversions!$K$216)+(J9*Conversions!$K$221)</f>
        <v>182.02</v>
      </c>
      <c r="L9" s="492">
        <f>((G9*Conversions!$D$205)+(H9*Conversions!$D$210)+(I9*Conversions!$D$216)+(J9*Conversions!$D$221))/1000</f>
        <v>1.4531200000000002</v>
      </c>
      <c r="M9" s="484">
        <f>L9*Conversions!$B$195/Conversions!$B$148</f>
        <v>412.6375964368091</v>
      </c>
      <c r="N9" s="486">
        <f>$M9*Conversions!$B$175/Conversions!$B$146</f>
        <v>352.09339014739083</v>
      </c>
      <c r="O9" s="485">
        <f>$M9*Conversions!$B$176/Conversions!$B$146</f>
        <v>0.003274956647027622</v>
      </c>
      <c r="P9" s="484">
        <f>$M9*Conversions!$B$177/Conversions!$B$146</f>
        <v>0.01573798610932718</v>
      </c>
      <c r="Q9" s="486">
        <f>N9+(O9*Conversions!$B$160)+('Battery Calc'!P9*Conversions!$B$161)</f>
        <v>356.86518392414604</v>
      </c>
      <c r="R9" s="483">
        <f>($G9*Conversions!$J$205)+($H9*Conversions!$J$210)+('Battery Calc'!$I9*Conversions!$J$216)+('Battery Calc'!$J9*Conversions!$J$221)</f>
        <v>60.86804326095697</v>
      </c>
      <c r="S9" s="486">
        <f>IF(AND(G9&gt;0,G9&lt;Conversions!$B$197),1,IF(G9&gt;=Conversions!$B$197,2,0))</f>
        <v>0</v>
      </c>
      <c r="T9" s="485">
        <f>IF(AND(H9&gt;0,H9&lt;Conversions!$B$197),1,IF(H9&gt;=Conversions!$B$197,2,0))</f>
        <v>0</v>
      </c>
      <c r="U9" s="485">
        <f>IF(AND(I9&gt;0,I9&lt;Conversions!$B$197),1,IF(I9&gt;=Conversions!$B$197,2,0))</f>
        <v>2</v>
      </c>
      <c r="V9" s="491">
        <f>IF(AND(J9&gt;0,J9&lt;Conversions!$B$197),1,IF(J9&gt;=Conversions!$B$197,2,0))</f>
        <v>0</v>
      </c>
      <c r="W9" s="488">
        <f>($S9*Conversions!$K$208)+($T9*Conversions!$K$213)+($U9*Conversions!$K$219)+($V9*Conversions!$K$224)</f>
        <v>8.45</v>
      </c>
      <c r="X9" s="490">
        <f>IF($G9=0,0,$L9/(Conversions!$D$208/1000))</f>
        <v>0</v>
      </c>
      <c r="Y9" s="292">
        <f>IF($H9=0,0,$L9/(Conversions!$D$213/1000))</f>
        <v>0</v>
      </c>
      <c r="Z9" s="292">
        <f>IF($I9=0,0,$L9/(Conversions!$D$219/1000))</f>
        <v>269.0962962962963</v>
      </c>
      <c r="AA9" s="489">
        <f>IF($J9=0,0,$L9/(Conversions!$D$224/1000))</f>
        <v>0</v>
      </c>
      <c r="AB9" s="488">
        <f>(X9*Conversions!$B$200*Conversions!$B$199)+(Y9*Conversions!$B$200*Conversions!$B$199)+(Z9*Conversions!$B$200*Conversions!$B$199)+(AA9*Conversions!$B$200*Conversions!$B$199)</f>
        <v>0.5381925925925927</v>
      </c>
      <c r="AC9" s="487">
        <f>L9*Conversions!$B$196/Conversions!$B$148</f>
        <v>14.446830509822636</v>
      </c>
      <c r="AD9" s="486">
        <f>$AC9*Conversions!$B$175/Conversions!$B$146</f>
        <v>12.327120880433814</v>
      </c>
      <c r="AE9" s="485">
        <f>$AC9*Conversions!$B$176/Conversions!$B$146</f>
        <v>0.00011465931368149223</v>
      </c>
      <c r="AF9" s="484">
        <f>$AC9*Conversions!$B$177/Conversions!$B$146</f>
        <v>0.0005510017018582822</v>
      </c>
      <c r="AG9" s="483">
        <f>AD9+(AE9*Conversions!$B$160)+('Battery Calc'!AF9*Conversions!$B$161)</f>
        <v>12.49418587042962</v>
      </c>
    </row>
    <row r="10" spans="1:33" ht="12.75">
      <c r="A10" s="501">
        <f>'Battery Classroom Log'!A12</f>
        <v>0</v>
      </c>
      <c r="B10" s="500">
        <f>'Battery Classroom Log'!B12</f>
        <v>0</v>
      </c>
      <c r="C10" s="499">
        <f>'Battery Classroom Log'!C12</f>
        <v>0</v>
      </c>
      <c r="D10" s="499">
        <f>'Battery Classroom Log'!D12</f>
        <v>0</v>
      </c>
      <c r="E10" s="498">
        <f>'Battery Classroom Log'!E12</f>
        <v>0</v>
      </c>
      <c r="F10" s="497">
        <f>'Battery Classroom Log'!F12</f>
        <v>0</v>
      </c>
      <c r="G10" s="496">
        <f t="shared" si="0"/>
        <v>0</v>
      </c>
      <c r="H10" s="495">
        <f t="shared" si="1"/>
        <v>0</v>
      </c>
      <c r="I10" s="495">
        <f t="shared" si="2"/>
        <v>0</v>
      </c>
      <c r="J10" s="494">
        <f t="shared" si="3"/>
        <v>0</v>
      </c>
      <c r="K10" s="493">
        <f>(G10*Conversions!$K$205)+(H10*Conversions!$K$210)+(I10*Conversions!$K$216)+(J10*Conversions!$K$221)</f>
        <v>0</v>
      </c>
      <c r="L10" s="492">
        <f>((G10*Conversions!$D$205)+(H10*Conversions!$D$210)+(I10*Conversions!$D$216)+(J10*Conversions!$D$221))/1000</f>
        <v>0</v>
      </c>
      <c r="M10" s="484">
        <f>L10*Conversions!$B$195/Conversions!$B$148</f>
        <v>0</v>
      </c>
      <c r="N10" s="486">
        <f>$M10*Conversions!$B$175/Conversions!$B$146</f>
        <v>0</v>
      </c>
      <c r="O10" s="485">
        <f>$M10*Conversions!$B$176/Conversions!$B$146</f>
        <v>0</v>
      </c>
      <c r="P10" s="484">
        <f>$M10*Conversions!$B$177/Conversions!$B$146</f>
        <v>0</v>
      </c>
      <c r="Q10" s="486">
        <f>N10+(O10*Conversions!$B$160)+('Battery Calc'!P10*Conversions!$B$161)</f>
        <v>0</v>
      </c>
      <c r="R10" s="483">
        <f>($G10*Conversions!$J$205)+($H10*Conversions!$J$210)+('Battery Calc'!$I10*Conversions!$J$216)+('Battery Calc'!$J10*Conversions!$J$221)</f>
        <v>0</v>
      </c>
      <c r="S10" s="486">
        <f>IF(AND(G10&gt;0,G10&lt;Conversions!$B$197),1,IF(G10&gt;=Conversions!$B$197,2,0))</f>
        <v>0</v>
      </c>
      <c r="T10" s="485">
        <f>IF(AND(H10&gt;0,H10&lt;Conversions!$B$197),1,IF(H10&gt;=Conversions!$B$197,2,0))</f>
        <v>0</v>
      </c>
      <c r="U10" s="485">
        <f>IF(AND(I10&gt;0,I10&lt;Conversions!$B$197),1,IF(I10&gt;=Conversions!$B$197,2,0))</f>
        <v>0</v>
      </c>
      <c r="V10" s="491">
        <f>IF(AND(J10&gt;0,J10&lt;Conversions!$B$197),1,IF(J10&gt;=Conversions!$B$197,2,0))</f>
        <v>0</v>
      </c>
      <c r="W10" s="488">
        <f>($S10*Conversions!$K$208)+($T10*Conversions!$K$213)+($U10*Conversions!$K$219)+($V10*Conversions!$K$224)</f>
        <v>0</v>
      </c>
      <c r="X10" s="490">
        <f>IF($G10=0,0,$L10/(Conversions!$D$208/1000))</f>
        <v>0</v>
      </c>
      <c r="Y10" s="292">
        <f>IF($H10=0,0,$L10/(Conversions!$D$213/1000))</f>
        <v>0</v>
      </c>
      <c r="Z10" s="292">
        <f>IF($I10=0,0,$L10/(Conversions!$D$219/1000))</f>
        <v>0</v>
      </c>
      <c r="AA10" s="489">
        <f>IF($J10=0,0,$L10/(Conversions!$D$224/1000))</f>
        <v>0</v>
      </c>
      <c r="AB10" s="488">
        <f>(X10*Conversions!$B$200*Conversions!$B$199)+(Y10*Conversions!$B$200*Conversions!$B$199)+(Z10*Conversions!$B$200*Conversions!$B$199)+(AA10*Conversions!$B$200*Conversions!$B$199)</f>
        <v>0</v>
      </c>
      <c r="AC10" s="487">
        <f>L10*Conversions!$B$196/Conversions!$B$148</f>
        <v>0</v>
      </c>
      <c r="AD10" s="486">
        <f>$AC10*Conversions!$B$175/Conversions!$B$146</f>
        <v>0</v>
      </c>
      <c r="AE10" s="485">
        <f>$AC10*Conversions!$B$176/Conversions!$B$146</f>
        <v>0</v>
      </c>
      <c r="AF10" s="484">
        <f>$AC10*Conversions!$B$177/Conversions!$B$146</f>
        <v>0</v>
      </c>
      <c r="AG10" s="483">
        <f>AD10+(AE10*Conversions!$B$160)+('Battery Calc'!AF10*Conversions!$B$161)</f>
        <v>0</v>
      </c>
    </row>
    <row r="11" spans="1:33" ht="12.75">
      <c r="A11" s="501">
        <f>'Battery Classroom Log'!A13</f>
        <v>0</v>
      </c>
      <c r="B11" s="500">
        <f>'Battery Classroom Log'!B13</f>
        <v>0</v>
      </c>
      <c r="C11" s="499">
        <f>'Battery Classroom Log'!C13</f>
        <v>0</v>
      </c>
      <c r="D11" s="499">
        <f>'Battery Classroom Log'!D13</f>
        <v>0</v>
      </c>
      <c r="E11" s="498">
        <f>'Battery Classroom Log'!E13</f>
        <v>0</v>
      </c>
      <c r="F11" s="497">
        <f>'Battery Classroom Log'!F13</f>
        <v>0</v>
      </c>
      <c r="G11" s="496">
        <f t="shared" si="0"/>
        <v>0</v>
      </c>
      <c r="H11" s="495">
        <f t="shared" si="1"/>
        <v>0</v>
      </c>
      <c r="I11" s="495">
        <f t="shared" si="2"/>
        <v>0</v>
      </c>
      <c r="J11" s="494">
        <f t="shared" si="3"/>
        <v>0</v>
      </c>
      <c r="K11" s="493">
        <f>(G11*Conversions!$K$205)+(H11*Conversions!$K$210)+(I11*Conversions!$K$216)+(J11*Conversions!$K$221)</f>
        <v>0</v>
      </c>
      <c r="L11" s="492">
        <f>((G11*Conversions!$D$205)+(H11*Conversions!$D$210)+(I11*Conversions!$D$216)+(J11*Conversions!$D$221))/1000</f>
        <v>0</v>
      </c>
      <c r="M11" s="484">
        <f>L11*Conversions!$B$195/Conversions!$B$148</f>
        <v>0</v>
      </c>
      <c r="N11" s="486">
        <f>$M11*Conversions!$B$175/Conversions!$B$146</f>
        <v>0</v>
      </c>
      <c r="O11" s="485">
        <f>$M11*Conversions!$B$176/Conversions!$B$146</f>
        <v>0</v>
      </c>
      <c r="P11" s="484">
        <f>$M11*Conversions!$B$177/Conversions!$B$146</f>
        <v>0</v>
      </c>
      <c r="Q11" s="486">
        <f>N11+(O11*Conversions!$B$160)+('Battery Calc'!P11*Conversions!$B$161)</f>
        <v>0</v>
      </c>
      <c r="R11" s="483">
        <f>($G11*Conversions!$J$205)+($H11*Conversions!$J$210)+('Battery Calc'!$I11*Conversions!$J$216)+('Battery Calc'!$J11*Conversions!$J$221)</f>
        <v>0</v>
      </c>
      <c r="S11" s="486">
        <f>IF(AND(G11&gt;0,G11&lt;Conversions!$B$197),1,IF(G11&gt;=Conversions!$B$197,2,0))</f>
        <v>0</v>
      </c>
      <c r="T11" s="485">
        <f>IF(AND(H11&gt;0,H11&lt;Conversions!$B$197),1,IF(H11&gt;=Conversions!$B$197,2,0))</f>
        <v>0</v>
      </c>
      <c r="U11" s="485">
        <f>IF(AND(I11&gt;0,I11&lt;Conversions!$B$197),1,IF(I11&gt;=Conversions!$B$197,2,0))</f>
        <v>0</v>
      </c>
      <c r="V11" s="491">
        <f>IF(AND(J11&gt;0,J11&lt;Conversions!$B$197),1,IF(J11&gt;=Conversions!$B$197,2,0))</f>
        <v>0</v>
      </c>
      <c r="W11" s="488">
        <f>($S11*Conversions!$K$208)+($T11*Conversions!$K$213)+($U11*Conversions!$K$219)+($V11*Conversions!$K$224)</f>
        <v>0</v>
      </c>
      <c r="X11" s="490">
        <f>IF($G11=0,0,$L11/(Conversions!$D$208/1000))</f>
        <v>0</v>
      </c>
      <c r="Y11" s="292">
        <f>IF($H11=0,0,$L11/(Conversions!$D$213/1000))</f>
        <v>0</v>
      </c>
      <c r="Z11" s="292">
        <f>IF($I11=0,0,$L11/(Conversions!$D$219/1000))</f>
        <v>0</v>
      </c>
      <c r="AA11" s="489">
        <f>IF($J11=0,0,$L11/(Conversions!$D$224/1000))</f>
        <v>0</v>
      </c>
      <c r="AB11" s="488">
        <f>(X11*Conversions!$B$200*Conversions!$B$199)+(Y11*Conversions!$B$200*Conversions!$B$199)+(Z11*Conversions!$B$200*Conversions!$B$199)+(AA11*Conversions!$B$200*Conversions!$B$199)</f>
        <v>0</v>
      </c>
      <c r="AC11" s="487">
        <f>L11*Conversions!$B$196/Conversions!$B$148</f>
        <v>0</v>
      </c>
      <c r="AD11" s="486">
        <f>$AC11*Conversions!$B$175/Conversions!$B$146</f>
        <v>0</v>
      </c>
      <c r="AE11" s="485">
        <f>$AC11*Conversions!$B$176/Conversions!$B$146</f>
        <v>0</v>
      </c>
      <c r="AF11" s="484">
        <f>$AC11*Conversions!$B$177/Conversions!$B$146</f>
        <v>0</v>
      </c>
      <c r="AG11" s="483">
        <f>AD11+(AE11*Conversions!$B$160)+('Battery Calc'!AF11*Conversions!$B$161)</f>
        <v>0</v>
      </c>
    </row>
    <row r="12" spans="1:33" ht="12.75">
      <c r="A12" s="501">
        <f>'Battery Classroom Log'!A14</f>
        <v>0</v>
      </c>
      <c r="B12" s="500">
        <f>'Battery Classroom Log'!B14</f>
        <v>0</v>
      </c>
      <c r="C12" s="499">
        <f>'Battery Classroom Log'!C14</f>
        <v>0</v>
      </c>
      <c r="D12" s="499">
        <f>'Battery Classroom Log'!D14</f>
        <v>0</v>
      </c>
      <c r="E12" s="498">
        <f>'Battery Classroom Log'!E14</f>
        <v>0</v>
      </c>
      <c r="F12" s="497">
        <f>'Battery Classroom Log'!F14</f>
        <v>0</v>
      </c>
      <c r="G12" s="496">
        <f t="shared" si="0"/>
        <v>0</v>
      </c>
      <c r="H12" s="495">
        <f t="shared" si="1"/>
        <v>0</v>
      </c>
      <c r="I12" s="495">
        <f t="shared" si="2"/>
        <v>0</v>
      </c>
      <c r="J12" s="494">
        <f t="shared" si="3"/>
        <v>0</v>
      </c>
      <c r="K12" s="493">
        <f>(G12*Conversions!$K$205)+(H12*Conversions!$K$210)+(I12*Conversions!$K$216)+(J12*Conversions!$K$221)</f>
        <v>0</v>
      </c>
      <c r="L12" s="492">
        <f>((G12*Conversions!$D$205)+(H12*Conversions!$D$210)+(I12*Conversions!$D$216)+(J12*Conversions!$D$221))/1000</f>
        <v>0</v>
      </c>
      <c r="M12" s="484">
        <f>L12*Conversions!$B$195/Conversions!$B$148</f>
        <v>0</v>
      </c>
      <c r="N12" s="486">
        <f>$M12*Conversions!$B$175/Conversions!$B$146</f>
        <v>0</v>
      </c>
      <c r="O12" s="485">
        <f>$M12*Conversions!$B$176/Conversions!$B$146</f>
        <v>0</v>
      </c>
      <c r="P12" s="484">
        <f>$M12*Conversions!$B$177/Conversions!$B$146</f>
        <v>0</v>
      </c>
      <c r="Q12" s="486">
        <f>N12+(O12*Conversions!$B$160)+('Battery Calc'!P12*Conversions!$B$161)</f>
        <v>0</v>
      </c>
      <c r="R12" s="483">
        <f>($G12*Conversions!$J$205)+($H12*Conversions!$J$210)+('Battery Calc'!$I12*Conversions!$J$216)+('Battery Calc'!$J12*Conversions!$J$221)</f>
        <v>0</v>
      </c>
      <c r="S12" s="486">
        <f>IF(AND(G12&gt;0,G12&lt;Conversions!$B$197),1,IF(G12&gt;=Conversions!$B$197,2,0))</f>
        <v>0</v>
      </c>
      <c r="T12" s="485">
        <f>IF(AND(H12&gt;0,H12&lt;Conversions!$B$197),1,IF(H12&gt;=Conversions!$B$197,2,0))</f>
        <v>0</v>
      </c>
      <c r="U12" s="485">
        <f>IF(AND(I12&gt;0,I12&lt;Conversions!$B$197),1,IF(I12&gt;=Conversions!$B$197,2,0))</f>
        <v>0</v>
      </c>
      <c r="V12" s="491">
        <f>IF(AND(J12&gt;0,J12&lt;Conversions!$B$197),1,IF(J12&gt;=Conversions!$B$197,2,0))</f>
        <v>0</v>
      </c>
      <c r="W12" s="488">
        <f>($S12*Conversions!$K$208)+($T12*Conversions!$K$213)+($U12*Conversions!$K$219)+($V12*Conversions!$K$224)</f>
        <v>0</v>
      </c>
      <c r="X12" s="490">
        <f>IF($G12=0,0,$L12/(Conversions!$D$208/1000))</f>
        <v>0</v>
      </c>
      <c r="Y12" s="292">
        <f>IF($H12=0,0,$L12/(Conversions!$D$213/1000))</f>
        <v>0</v>
      </c>
      <c r="Z12" s="292">
        <f>IF($I12=0,0,$L12/(Conversions!$D$219/1000))</f>
        <v>0</v>
      </c>
      <c r="AA12" s="489">
        <f>IF($J12=0,0,$L12/(Conversions!$D$224/1000))</f>
        <v>0</v>
      </c>
      <c r="AB12" s="488">
        <f>(X12*Conversions!$B$200*Conversions!$B$199)+(Y12*Conversions!$B$200*Conversions!$B$199)+(Z12*Conversions!$B$200*Conversions!$B$199)+(AA12*Conversions!$B$200*Conversions!$B$199)</f>
        <v>0</v>
      </c>
      <c r="AC12" s="487">
        <f>L12*Conversions!$B$196/Conversions!$B$148</f>
        <v>0</v>
      </c>
      <c r="AD12" s="486">
        <f>$AC12*Conversions!$B$175/Conversions!$B$146</f>
        <v>0</v>
      </c>
      <c r="AE12" s="485">
        <f>$AC12*Conversions!$B$176/Conversions!$B$146</f>
        <v>0</v>
      </c>
      <c r="AF12" s="484">
        <f>$AC12*Conversions!$B$177/Conversions!$B$146</f>
        <v>0</v>
      </c>
      <c r="AG12" s="483">
        <f>AD12+(AE12*Conversions!$B$160)+('Battery Calc'!AF12*Conversions!$B$161)</f>
        <v>0</v>
      </c>
    </row>
    <row r="13" spans="1:33" ht="12.75">
      <c r="A13" s="501">
        <f>'Battery Classroom Log'!A15</f>
        <v>0</v>
      </c>
      <c r="B13" s="500">
        <f>'Battery Classroom Log'!B15</f>
        <v>0</v>
      </c>
      <c r="C13" s="499">
        <f>'Battery Classroom Log'!C15</f>
        <v>0</v>
      </c>
      <c r="D13" s="499">
        <f>'Battery Classroom Log'!D15</f>
        <v>0</v>
      </c>
      <c r="E13" s="498">
        <f>'Battery Classroom Log'!E15</f>
        <v>0</v>
      </c>
      <c r="F13" s="497">
        <f>'Battery Classroom Log'!F15</f>
        <v>0</v>
      </c>
      <c r="G13" s="496">
        <f t="shared" si="0"/>
        <v>0</v>
      </c>
      <c r="H13" s="495">
        <f t="shared" si="1"/>
        <v>0</v>
      </c>
      <c r="I13" s="495">
        <f t="shared" si="2"/>
        <v>0</v>
      </c>
      <c r="J13" s="494">
        <f t="shared" si="3"/>
        <v>0</v>
      </c>
      <c r="K13" s="493">
        <f>(G13*Conversions!$K$205)+(H13*Conversions!$K$210)+(I13*Conversions!$K$216)+(J13*Conversions!$K$221)</f>
        <v>0</v>
      </c>
      <c r="L13" s="492">
        <f>((G13*Conversions!$D$205)+(H13*Conversions!$D$210)+(I13*Conversions!$D$216)+(J13*Conversions!$D$221))/1000</f>
        <v>0</v>
      </c>
      <c r="M13" s="484">
        <f>L13*Conversions!$B$195/Conversions!$B$148</f>
        <v>0</v>
      </c>
      <c r="N13" s="486">
        <f>$M13*Conversions!$B$175/Conversions!$B$146</f>
        <v>0</v>
      </c>
      <c r="O13" s="485">
        <f>$M13*Conversions!$B$176/Conversions!$B$146</f>
        <v>0</v>
      </c>
      <c r="P13" s="484">
        <f>$M13*Conversions!$B$177/Conversions!$B$146</f>
        <v>0</v>
      </c>
      <c r="Q13" s="486">
        <f>N13+(O13*Conversions!$B$160)+('Battery Calc'!P13*Conversions!$B$161)</f>
        <v>0</v>
      </c>
      <c r="R13" s="483">
        <f>($G13*Conversions!$J$205)+($H13*Conversions!$J$210)+('Battery Calc'!$I13*Conversions!$J$216)+('Battery Calc'!$J13*Conversions!$J$221)</f>
        <v>0</v>
      </c>
      <c r="S13" s="486">
        <f>IF(AND(G13&gt;0,G13&lt;Conversions!$B$197),1,IF(G13&gt;=Conversions!$B$197,2,0))</f>
        <v>0</v>
      </c>
      <c r="T13" s="485">
        <f>IF(AND(H13&gt;0,H13&lt;Conversions!$B$197),1,IF(H13&gt;=Conversions!$B$197,2,0))</f>
        <v>0</v>
      </c>
      <c r="U13" s="485">
        <f>IF(AND(I13&gt;0,I13&lt;Conversions!$B$197),1,IF(I13&gt;=Conversions!$B$197,2,0))</f>
        <v>0</v>
      </c>
      <c r="V13" s="491">
        <f>IF(AND(J13&gt;0,J13&lt;Conversions!$B$197),1,IF(J13&gt;=Conversions!$B$197,2,0))</f>
        <v>0</v>
      </c>
      <c r="W13" s="488">
        <f>($S13*Conversions!$K$208)+($T13*Conversions!$K$213)+($U13*Conversions!$K$219)+($V13*Conversions!$K$224)</f>
        <v>0</v>
      </c>
      <c r="X13" s="490">
        <f>IF($G13=0,0,$L13/(Conversions!$D$208/1000))</f>
        <v>0</v>
      </c>
      <c r="Y13" s="292">
        <f>IF($H13=0,0,$L13/(Conversions!$D$213/1000))</f>
        <v>0</v>
      </c>
      <c r="Z13" s="292">
        <f>IF($I13=0,0,$L13/(Conversions!$D$219/1000))</f>
        <v>0</v>
      </c>
      <c r="AA13" s="489">
        <f>IF($J13=0,0,$L13/(Conversions!$D$224/1000))</f>
        <v>0</v>
      </c>
      <c r="AB13" s="488">
        <f>(X13*Conversions!$B$200*Conversions!$B$199)+(Y13*Conversions!$B$200*Conversions!$B$199)+(Z13*Conversions!$B$200*Conversions!$B$199)+(AA13*Conversions!$B$200*Conversions!$B$199)</f>
        <v>0</v>
      </c>
      <c r="AC13" s="487">
        <f>L13*Conversions!$B$196/Conversions!$B$148</f>
        <v>0</v>
      </c>
      <c r="AD13" s="486">
        <f>$AC13*Conversions!$B$175/Conversions!$B$146</f>
        <v>0</v>
      </c>
      <c r="AE13" s="485">
        <f>$AC13*Conversions!$B$176/Conversions!$B$146</f>
        <v>0</v>
      </c>
      <c r="AF13" s="484">
        <f>$AC13*Conversions!$B$177/Conversions!$B$146</f>
        <v>0</v>
      </c>
      <c r="AG13" s="483">
        <f>AD13+(AE13*Conversions!$B$160)+('Battery Calc'!AF13*Conversions!$B$161)</f>
        <v>0</v>
      </c>
    </row>
    <row r="14" spans="1:33" ht="12.75">
      <c r="A14" s="501">
        <f>'Battery Classroom Log'!A16</f>
        <v>0</v>
      </c>
      <c r="B14" s="500">
        <f>'Battery Classroom Log'!B16</f>
        <v>0</v>
      </c>
      <c r="C14" s="499">
        <f>'Battery Classroom Log'!C16</f>
        <v>0</v>
      </c>
      <c r="D14" s="499">
        <f>'Battery Classroom Log'!D16</f>
        <v>0</v>
      </c>
      <c r="E14" s="498">
        <f>'Battery Classroom Log'!E16</f>
        <v>0</v>
      </c>
      <c r="F14" s="497">
        <f>'Battery Classroom Log'!F16</f>
        <v>0</v>
      </c>
      <c r="G14" s="496">
        <f t="shared" si="0"/>
        <v>0</v>
      </c>
      <c r="H14" s="495">
        <f t="shared" si="1"/>
        <v>0</v>
      </c>
      <c r="I14" s="495">
        <f t="shared" si="2"/>
        <v>0</v>
      </c>
      <c r="J14" s="494">
        <f t="shared" si="3"/>
        <v>0</v>
      </c>
      <c r="K14" s="493">
        <f>(G14*Conversions!$K$205)+(H14*Conversions!$K$210)+(I14*Conversions!$K$216)+(J14*Conversions!$K$221)</f>
        <v>0</v>
      </c>
      <c r="L14" s="492">
        <f>((G14*Conversions!$D$205)+(H14*Conversions!$D$210)+(I14*Conversions!$D$216)+(J14*Conversions!$D$221))/1000</f>
        <v>0</v>
      </c>
      <c r="M14" s="484">
        <f>L14*Conversions!$B$195/Conversions!$B$148</f>
        <v>0</v>
      </c>
      <c r="N14" s="486">
        <f>$M14*Conversions!$B$175/Conversions!$B$146</f>
        <v>0</v>
      </c>
      <c r="O14" s="485">
        <f>$M14*Conversions!$B$176/Conversions!$B$146</f>
        <v>0</v>
      </c>
      <c r="P14" s="484">
        <f>$M14*Conversions!$B$177/Conversions!$B$146</f>
        <v>0</v>
      </c>
      <c r="Q14" s="486">
        <f>N14+(O14*Conversions!$B$160)+('Battery Calc'!P14*Conversions!$B$161)</f>
        <v>0</v>
      </c>
      <c r="R14" s="483">
        <f>($G14*Conversions!$J$205)+($H14*Conversions!$J$210)+('Battery Calc'!$I14*Conversions!$J$216)+('Battery Calc'!$J14*Conversions!$J$221)</f>
        <v>0</v>
      </c>
      <c r="S14" s="486">
        <f>IF(AND(G14&gt;0,G14&lt;Conversions!$B$197),1,IF(G14&gt;=Conversions!$B$197,2,0))</f>
        <v>0</v>
      </c>
      <c r="T14" s="485">
        <f>IF(AND(H14&gt;0,H14&lt;Conversions!$B$197),1,IF(H14&gt;=Conversions!$B$197,2,0))</f>
        <v>0</v>
      </c>
      <c r="U14" s="485">
        <f>IF(AND(I14&gt;0,I14&lt;Conversions!$B$197),1,IF(I14&gt;=Conversions!$B$197,2,0))</f>
        <v>0</v>
      </c>
      <c r="V14" s="491">
        <f>IF(AND(J14&gt;0,J14&lt;Conversions!$B$197),1,IF(J14&gt;=Conversions!$B$197,2,0))</f>
        <v>0</v>
      </c>
      <c r="W14" s="488">
        <f>($S14*Conversions!$K$208)+($T14*Conversions!$K$213)+($U14*Conversions!$K$219)+($V14*Conversions!$K$224)</f>
        <v>0</v>
      </c>
      <c r="X14" s="490">
        <f>IF($G14=0,0,$L14/(Conversions!$D$208/1000))</f>
        <v>0</v>
      </c>
      <c r="Y14" s="292">
        <f>IF($H14=0,0,$L14/(Conversions!$D$213/1000))</f>
        <v>0</v>
      </c>
      <c r="Z14" s="292">
        <f>IF($I14=0,0,$L14/(Conversions!$D$219/1000))</f>
        <v>0</v>
      </c>
      <c r="AA14" s="489">
        <f>IF($J14=0,0,$L14/(Conversions!$D$224/1000))</f>
        <v>0</v>
      </c>
      <c r="AB14" s="488">
        <f>(X14*Conversions!$B$200*Conversions!$B$199)+(Y14*Conversions!$B$200*Conversions!$B$199)+(Z14*Conversions!$B$200*Conversions!$B$199)+(AA14*Conversions!$B$200*Conversions!$B$199)</f>
        <v>0</v>
      </c>
      <c r="AC14" s="487">
        <f>L14*Conversions!$B$196/Conversions!$B$148</f>
        <v>0</v>
      </c>
      <c r="AD14" s="486">
        <f>$AC14*Conversions!$B$175/Conversions!$B$146</f>
        <v>0</v>
      </c>
      <c r="AE14" s="485">
        <f>$AC14*Conversions!$B$176/Conversions!$B$146</f>
        <v>0</v>
      </c>
      <c r="AF14" s="484">
        <f>$AC14*Conversions!$B$177/Conversions!$B$146</f>
        <v>0</v>
      </c>
      <c r="AG14" s="483">
        <f>AD14+(AE14*Conversions!$B$160)+('Battery Calc'!AF14*Conversions!$B$161)</f>
        <v>0</v>
      </c>
    </row>
    <row r="15" spans="1:33" ht="12.75">
      <c r="A15" s="501">
        <f>'Battery Classroom Log'!A17</f>
        <v>0</v>
      </c>
      <c r="B15" s="500">
        <f>'Battery Classroom Log'!B17</f>
        <v>0</v>
      </c>
      <c r="C15" s="499">
        <f>'Battery Classroom Log'!C17</f>
        <v>0</v>
      </c>
      <c r="D15" s="499">
        <f>'Battery Classroom Log'!D17</f>
        <v>0</v>
      </c>
      <c r="E15" s="498">
        <f>'Battery Classroom Log'!E17</f>
        <v>0</v>
      </c>
      <c r="F15" s="497">
        <f>'Battery Classroom Log'!F17</f>
        <v>0</v>
      </c>
      <c r="G15" s="496">
        <f t="shared" si="0"/>
        <v>0</v>
      </c>
      <c r="H15" s="495">
        <f t="shared" si="1"/>
        <v>0</v>
      </c>
      <c r="I15" s="495">
        <f t="shared" si="2"/>
        <v>0</v>
      </c>
      <c r="J15" s="494">
        <f t="shared" si="3"/>
        <v>0</v>
      </c>
      <c r="K15" s="493">
        <f>(G15*Conversions!$K$205)+(H15*Conversions!$K$210)+(I15*Conversions!$K$216)+(J15*Conversions!$K$221)</f>
        <v>0</v>
      </c>
      <c r="L15" s="492">
        <f>((G15*Conversions!$D$205)+(H15*Conversions!$D$210)+(I15*Conversions!$D$216)+(J15*Conversions!$D$221))/1000</f>
        <v>0</v>
      </c>
      <c r="M15" s="484">
        <f>L15*Conversions!$B$195/Conversions!$B$148</f>
        <v>0</v>
      </c>
      <c r="N15" s="486">
        <f>$M15*Conversions!$B$175/Conversions!$B$146</f>
        <v>0</v>
      </c>
      <c r="O15" s="485">
        <f>$M15*Conversions!$B$176/Conversions!$B$146</f>
        <v>0</v>
      </c>
      <c r="P15" s="484">
        <f>$M15*Conversions!$B$177/Conversions!$B$146</f>
        <v>0</v>
      </c>
      <c r="Q15" s="486">
        <f>N15+(O15*Conversions!$B$160)+('Battery Calc'!P15*Conversions!$B$161)</f>
        <v>0</v>
      </c>
      <c r="R15" s="483">
        <f>($G15*Conversions!$J$205)+($H15*Conversions!$J$210)+('Battery Calc'!$I15*Conversions!$J$216)+('Battery Calc'!$J15*Conversions!$J$221)</f>
        <v>0</v>
      </c>
      <c r="S15" s="486">
        <f>IF(AND(G15&gt;0,G15&lt;Conversions!$B$197),1,IF(G15&gt;=Conversions!$B$197,2,0))</f>
        <v>0</v>
      </c>
      <c r="T15" s="485">
        <f>IF(AND(H15&gt;0,H15&lt;Conversions!$B$197),1,IF(H15&gt;=Conversions!$B$197,2,0))</f>
        <v>0</v>
      </c>
      <c r="U15" s="485">
        <f>IF(AND(I15&gt;0,I15&lt;Conversions!$B$197),1,IF(I15&gt;=Conversions!$B$197,2,0))</f>
        <v>0</v>
      </c>
      <c r="V15" s="491">
        <f>IF(AND(J15&gt;0,J15&lt;Conversions!$B$197),1,IF(J15&gt;=Conversions!$B$197,2,0))</f>
        <v>0</v>
      </c>
      <c r="W15" s="488">
        <f>($S15*Conversions!$K$208)+($T15*Conversions!$K$213)+($U15*Conversions!$K$219)+($V15*Conversions!$K$224)</f>
        <v>0</v>
      </c>
      <c r="X15" s="490">
        <f>IF($G15=0,0,$L15/(Conversions!$D$208/1000))</f>
        <v>0</v>
      </c>
      <c r="Y15" s="292">
        <f>IF($H15=0,0,$L15/(Conversions!$D$213/1000))</f>
        <v>0</v>
      </c>
      <c r="Z15" s="292">
        <f>IF($I15=0,0,$L15/(Conversions!$D$219/1000))</f>
        <v>0</v>
      </c>
      <c r="AA15" s="489">
        <f>IF($J15=0,0,$L15/(Conversions!$D$224/1000))</f>
        <v>0</v>
      </c>
      <c r="AB15" s="488">
        <f>(X15*Conversions!$B$200*Conversions!$B$199)+(Y15*Conversions!$B$200*Conversions!$B$199)+(Z15*Conversions!$B$200*Conversions!$B$199)+(AA15*Conversions!$B$200*Conversions!$B$199)</f>
        <v>0</v>
      </c>
      <c r="AC15" s="487">
        <f>L15*Conversions!$B$196/Conversions!$B$148</f>
        <v>0</v>
      </c>
      <c r="AD15" s="486">
        <f>$AC15*Conversions!$B$175/Conversions!$B$146</f>
        <v>0</v>
      </c>
      <c r="AE15" s="485">
        <f>$AC15*Conversions!$B$176/Conversions!$B$146</f>
        <v>0</v>
      </c>
      <c r="AF15" s="484">
        <f>$AC15*Conversions!$B$177/Conversions!$B$146</f>
        <v>0</v>
      </c>
      <c r="AG15" s="483">
        <f>AD15+(AE15*Conversions!$B$160)+('Battery Calc'!AF15*Conversions!$B$161)</f>
        <v>0</v>
      </c>
    </row>
    <row r="16" spans="1:33" ht="12.75">
      <c r="A16" s="501">
        <f>'Battery Classroom Log'!A18</f>
        <v>0</v>
      </c>
      <c r="B16" s="500">
        <f>'Battery Classroom Log'!B18</f>
        <v>0</v>
      </c>
      <c r="C16" s="499">
        <f>'Battery Classroom Log'!C18</f>
        <v>0</v>
      </c>
      <c r="D16" s="499">
        <f>'Battery Classroom Log'!D18</f>
        <v>0</v>
      </c>
      <c r="E16" s="498">
        <f>'Battery Classroom Log'!E18</f>
        <v>0</v>
      </c>
      <c r="F16" s="497">
        <f>'Battery Classroom Log'!F18</f>
        <v>0</v>
      </c>
      <c r="G16" s="496">
        <f t="shared" si="0"/>
        <v>0</v>
      </c>
      <c r="H16" s="495">
        <f t="shared" si="1"/>
        <v>0</v>
      </c>
      <c r="I16" s="495">
        <f t="shared" si="2"/>
        <v>0</v>
      </c>
      <c r="J16" s="494">
        <f t="shared" si="3"/>
        <v>0</v>
      </c>
      <c r="K16" s="493">
        <f>(G16*Conversions!$K$205)+(H16*Conversions!$K$210)+(I16*Conversions!$K$216)+(J16*Conversions!$K$221)</f>
        <v>0</v>
      </c>
      <c r="L16" s="492">
        <f>((G16*Conversions!$D$205)+(H16*Conversions!$D$210)+(I16*Conversions!$D$216)+(J16*Conversions!$D$221))/1000</f>
        <v>0</v>
      </c>
      <c r="M16" s="484">
        <f>L16*Conversions!$B$195/Conversions!$B$148</f>
        <v>0</v>
      </c>
      <c r="N16" s="486">
        <f>$M16*Conversions!$B$175/Conversions!$B$146</f>
        <v>0</v>
      </c>
      <c r="O16" s="485">
        <f>$M16*Conversions!$B$176/Conversions!$B$146</f>
        <v>0</v>
      </c>
      <c r="P16" s="484">
        <f>$M16*Conversions!$B$177/Conversions!$B$146</f>
        <v>0</v>
      </c>
      <c r="Q16" s="486">
        <f>N16+(O16*Conversions!$B$160)+('Battery Calc'!P16*Conversions!$B$161)</f>
        <v>0</v>
      </c>
      <c r="R16" s="483">
        <f>($G16*Conversions!$J$205)+($H16*Conversions!$J$210)+('Battery Calc'!$I16*Conversions!$J$216)+('Battery Calc'!$J16*Conversions!$J$221)</f>
        <v>0</v>
      </c>
      <c r="S16" s="486">
        <f>IF(AND(G16&gt;0,G16&lt;Conversions!$B$197),1,IF(G16&gt;=Conversions!$B$197,2,0))</f>
        <v>0</v>
      </c>
      <c r="T16" s="485">
        <f>IF(AND(H16&gt;0,H16&lt;Conversions!$B$197),1,IF(H16&gt;=Conversions!$B$197,2,0))</f>
        <v>0</v>
      </c>
      <c r="U16" s="485">
        <f>IF(AND(I16&gt;0,I16&lt;Conversions!$B$197),1,IF(I16&gt;=Conversions!$B$197,2,0))</f>
        <v>0</v>
      </c>
      <c r="V16" s="491">
        <f>IF(AND(J16&gt;0,J16&lt;Conversions!$B$197),1,IF(J16&gt;=Conversions!$B$197,2,0))</f>
        <v>0</v>
      </c>
      <c r="W16" s="488">
        <f>($S16*Conversions!$K$208)+($T16*Conversions!$K$213)+($U16*Conversions!$K$219)+($V16*Conversions!$K$224)</f>
        <v>0</v>
      </c>
      <c r="X16" s="490">
        <f>IF($G16=0,0,$L16/(Conversions!$D$208/1000))</f>
        <v>0</v>
      </c>
      <c r="Y16" s="292">
        <f>IF($H16=0,0,$L16/(Conversions!$D$213/1000))</f>
        <v>0</v>
      </c>
      <c r="Z16" s="292">
        <f>IF($I16=0,0,$L16/(Conversions!$D$219/1000))</f>
        <v>0</v>
      </c>
      <c r="AA16" s="489">
        <f>IF($J16=0,0,$L16/(Conversions!$D$224/1000))</f>
        <v>0</v>
      </c>
      <c r="AB16" s="488">
        <f>(X16*Conversions!$B$200*Conversions!$B$199)+(Y16*Conversions!$B$200*Conversions!$B$199)+(Z16*Conversions!$B$200*Conversions!$B$199)+(AA16*Conversions!$B$200*Conversions!$B$199)</f>
        <v>0</v>
      </c>
      <c r="AC16" s="487">
        <f>L16*Conversions!$B$196/Conversions!$B$148</f>
        <v>0</v>
      </c>
      <c r="AD16" s="486">
        <f>$AC16*Conversions!$B$175/Conversions!$B$146</f>
        <v>0</v>
      </c>
      <c r="AE16" s="485">
        <f>$AC16*Conversions!$B$176/Conversions!$B$146</f>
        <v>0</v>
      </c>
      <c r="AF16" s="484">
        <f>$AC16*Conversions!$B$177/Conversions!$B$146</f>
        <v>0</v>
      </c>
      <c r="AG16" s="483">
        <f>AD16+(AE16*Conversions!$B$160)+('Battery Calc'!AF16*Conversions!$B$161)</f>
        <v>0</v>
      </c>
    </row>
    <row r="17" spans="1:33" ht="12.75">
      <c r="A17" s="501">
        <f>'Battery Classroom Log'!A19</f>
        <v>0</v>
      </c>
      <c r="B17" s="500">
        <f>'Battery Classroom Log'!B19</f>
        <v>0</v>
      </c>
      <c r="C17" s="499">
        <f>'Battery Classroom Log'!C19</f>
        <v>0</v>
      </c>
      <c r="D17" s="499">
        <f>'Battery Classroom Log'!D19</f>
        <v>0</v>
      </c>
      <c r="E17" s="498">
        <f>'Battery Classroom Log'!E19</f>
        <v>0</v>
      </c>
      <c r="F17" s="497">
        <f>'Battery Classroom Log'!F19</f>
        <v>0</v>
      </c>
      <c r="G17" s="496">
        <f t="shared" si="0"/>
        <v>0</v>
      </c>
      <c r="H17" s="495">
        <f t="shared" si="1"/>
        <v>0</v>
      </c>
      <c r="I17" s="495">
        <f t="shared" si="2"/>
        <v>0</v>
      </c>
      <c r="J17" s="494">
        <f t="shared" si="3"/>
        <v>0</v>
      </c>
      <c r="K17" s="493">
        <f>(G17*Conversions!$K$205)+(H17*Conversions!$K$210)+(I17*Conversions!$K$216)+(J17*Conversions!$K$221)</f>
        <v>0</v>
      </c>
      <c r="L17" s="492">
        <f>((G17*Conversions!$D$205)+(H17*Conversions!$D$210)+(I17*Conversions!$D$216)+(J17*Conversions!$D$221))/1000</f>
        <v>0</v>
      </c>
      <c r="M17" s="484">
        <f>L17*Conversions!$B$195/Conversions!$B$148</f>
        <v>0</v>
      </c>
      <c r="N17" s="486">
        <f>$M17*Conversions!$B$175/Conversions!$B$146</f>
        <v>0</v>
      </c>
      <c r="O17" s="485">
        <f>$M17*Conversions!$B$176/Conversions!$B$146</f>
        <v>0</v>
      </c>
      <c r="P17" s="484">
        <f>$M17*Conversions!$B$177/Conversions!$B$146</f>
        <v>0</v>
      </c>
      <c r="Q17" s="486">
        <f>N17+(O17*Conversions!$B$160)+('Battery Calc'!P17*Conversions!$B$161)</f>
        <v>0</v>
      </c>
      <c r="R17" s="483">
        <f>($G17*Conversions!$J$205)+($H17*Conversions!$J$210)+('Battery Calc'!$I17*Conversions!$J$216)+('Battery Calc'!$J17*Conversions!$J$221)</f>
        <v>0</v>
      </c>
      <c r="S17" s="486">
        <f>IF(AND(G17&gt;0,G17&lt;Conversions!$B$197),1,IF(G17&gt;=Conversions!$B$197,2,0))</f>
        <v>0</v>
      </c>
      <c r="T17" s="485">
        <f>IF(AND(H17&gt;0,H17&lt;Conversions!$B$197),1,IF(H17&gt;=Conversions!$B$197,2,0))</f>
        <v>0</v>
      </c>
      <c r="U17" s="485">
        <f>IF(AND(I17&gt;0,I17&lt;Conversions!$B$197),1,IF(I17&gt;=Conversions!$B$197,2,0))</f>
        <v>0</v>
      </c>
      <c r="V17" s="491">
        <f>IF(AND(J17&gt;0,J17&lt;Conversions!$B$197),1,IF(J17&gt;=Conversions!$B$197,2,0))</f>
        <v>0</v>
      </c>
      <c r="W17" s="488">
        <f>($S17*Conversions!$K$208)+($T17*Conversions!$K$213)+($U17*Conversions!$K$219)+($V17*Conversions!$K$224)</f>
        <v>0</v>
      </c>
      <c r="X17" s="490">
        <f>IF($G17=0,0,$L17/(Conversions!$D$208/1000))</f>
        <v>0</v>
      </c>
      <c r="Y17" s="292">
        <f>IF($H17=0,0,$L17/(Conversions!$D$213/1000))</f>
        <v>0</v>
      </c>
      <c r="Z17" s="292">
        <f>IF($I17=0,0,$L17/(Conversions!$D$219/1000))</f>
        <v>0</v>
      </c>
      <c r="AA17" s="489">
        <f>IF($J17=0,0,$L17/(Conversions!$D$224/1000))</f>
        <v>0</v>
      </c>
      <c r="AB17" s="488">
        <f>(X17*Conversions!$B$200*Conversions!$B$199)+(Y17*Conversions!$B$200*Conversions!$B$199)+(Z17*Conversions!$B$200*Conversions!$B$199)+(AA17*Conversions!$B$200*Conversions!$B$199)</f>
        <v>0</v>
      </c>
      <c r="AC17" s="487">
        <f>L17*Conversions!$B$196/Conversions!$B$148</f>
        <v>0</v>
      </c>
      <c r="AD17" s="486">
        <f>$AC17*Conversions!$B$175/Conversions!$B$146</f>
        <v>0</v>
      </c>
      <c r="AE17" s="485">
        <f>$AC17*Conversions!$B$176/Conversions!$B$146</f>
        <v>0</v>
      </c>
      <c r="AF17" s="484">
        <f>$AC17*Conversions!$B$177/Conversions!$B$146</f>
        <v>0</v>
      </c>
      <c r="AG17" s="483">
        <f>AD17+(AE17*Conversions!$B$160)+('Battery Calc'!AF17*Conversions!$B$161)</f>
        <v>0</v>
      </c>
    </row>
    <row r="18" spans="1:33" ht="12.75">
      <c r="A18" s="501">
        <f>'Battery Classroom Log'!A20</f>
        <v>0</v>
      </c>
      <c r="B18" s="500">
        <f>'Battery Classroom Log'!B20</f>
        <v>0</v>
      </c>
      <c r="C18" s="499">
        <f>'Battery Classroom Log'!C20</f>
        <v>0</v>
      </c>
      <c r="D18" s="499">
        <f>'Battery Classroom Log'!D20</f>
        <v>0</v>
      </c>
      <c r="E18" s="498">
        <f>'Battery Classroom Log'!E20</f>
        <v>0</v>
      </c>
      <c r="F18" s="497">
        <f>'Battery Classroom Log'!F20</f>
        <v>0</v>
      </c>
      <c r="G18" s="496">
        <f t="shared" si="0"/>
        <v>0</v>
      </c>
      <c r="H18" s="495">
        <f t="shared" si="1"/>
        <v>0</v>
      </c>
      <c r="I18" s="495">
        <f t="shared" si="2"/>
        <v>0</v>
      </c>
      <c r="J18" s="494">
        <f t="shared" si="3"/>
        <v>0</v>
      </c>
      <c r="K18" s="493">
        <f>(G18*Conversions!$K$205)+(H18*Conversions!$K$210)+(I18*Conversions!$K$216)+(J18*Conversions!$K$221)</f>
        <v>0</v>
      </c>
      <c r="L18" s="492">
        <f>((G18*Conversions!$D$205)+(H18*Conversions!$D$210)+(I18*Conversions!$D$216)+(J18*Conversions!$D$221))/1000</f>
        <v>0</v>
      </c>
      <c r="M18" s="484">
        <f>L18*Conversions!$B$195/Conversions!$B$148</f>
        <v>0</v>
      </c>
      <c r="N18" s="486">
        <f>$M18*Conversions!$B$175/Conversions!$B$146</f>
        <v>0</v>
      </c>
      <c r="O18" s="485">
        <f>$M18*Conversions!$B$176/Conversions!$B$146</f>
        <v>0</v>
      </c>
      <c r="P18" s="484">
        <f>$M18*Conversions!$B$177/Conversions!$B$146</f>
        <v>0</v>
      </c>
      <c r="Q18" s="486">
        <f>N18+(O18*Conversions!$B$160)+('Battery Calc'!P18*Conversions!$B$161)</f>
        <v>0</v>
      </c>
      <c r="R18" s="483">
        <f>($G18*Conversions!$J$205)+($H18*Conversions!$J$210)+('Battery Calc'!$I18*Conversions!$J$216)+('Battery Calc'!$J18*Conversions!$J$221)</f>
        <v>0</v>
      </c>
      <c r="S18" s="486">
        <f>IF(AND(G18&gt;0,G18&lt;Conversions!$B$197),1,IF(G18&gt;=Conversions!$B$197,2,0))</f>
        <v>0</v>
      </c>
      <c r="T18" s="485">
        <f>IF(AND(H18&gt;0,H18&lt;Conversions!$B$197),1,IF(H18&gt;=Conversions!$B$197,2,0))</f>
        <v>0</v>
      </c>
      <c r="U18" s="485">
        <f>IF(AND(I18&gt;0,I18&lt;Conversions!$B$197),1,IF(I18&gt;=Conversions!$B$197,2,0))</f>
        <v>0</v>
      </c>
      <c r="V18" s="491">
        <f>IF(AND(J18&gt;0,J18&lt;Conversions!$B$197),1,IF(J18&gt;=Conversions!$B$197,2,0))</f>
        <v>0</v>
      </c>
      <c r="W18" s="488">
        <f>($S18*Conversions!$K$208)+($T18*Conversions!$K$213)+($U18*Conversions!$K$219)+($V18*Conversions!$K$224)</f>
        <v>0</v>
      </c>
      <c r="X18" s="490">
        <f>IF($G18=0,0,$L18/(Conversions!$D$208/1000))</f>
        <v>0</v>
      </c>
      <c r="Y18" s="292">
        <f>IF($H18=0,0,$L18/(Conversions!$D$213/1000))</f>
        <v>0</v>
      </c>
      <c r="Z18" s="292">
        <f>IF($I18=0,0,$L18/(Conversions!$D$219/1000))</f>
        <v>0</v>
      </c>
      <c r="AA18" s="489">
        <f>IF($J18=0,0,$L18/(Conversions!$D$224/1000))</f>
        <v>0</v>
      </c>
      <c r="AB18" s="488">
        <f>(X18*Conversions!$B$200*Conversions!$B$199)+(Y18*Conversions!$B$200*Conversions!$B$199)+(Z18*Conversions!$B$200*Conversions!$B$199)+(AA18*Conversions!$B$200*Conversions!$B$199)</f>
        <v>0</v>
      </c>
      <c r="AC18" s="487">
        <f>L18*Conversions!$B$196/Conversions!$B$148</f>
        <v>0</v>
      </c>
      <c r="AD18" s="486">
        <f>$AC18*Conversions!$B$175/Conversions!$B$146</f>
        <v>0</v>
      </c>
      <c r="AE18" s="485">
        <f>$AC18*Conversions!$B$176/Conversions!$B$146</f>
        <v>0</v>
      </c>
      <c r="AF18" s="484">
        <f>$AC18*Conversions!$B$177/Conversions!$B$146</f>
        <v>0</v>
      </c>
      <c r="AG18" s="483">
        <f>AD18+(AE18*Conversions!$B$160)+('Battery Calc'!AF18*Conversions!$B$161)</f>
        <v>0</v>
      </c>
    </row>
    <row r="19" spans="1:33" ht="12.75">
      <c r="A19" s="482">
        <f>'Battery Classroom Log'!A21</f>
        <v>0</v>
      </c>
      <c r="B19" s="481">
        <f>'Battery Classroom Log'!B21</f>
        <v>0</v>
      </c>
      <c r="C19" s="480">
        <f>'Battery Classroom Log'!C21</f>
        <v>0</v>
      </c>
      <c r="D19" s="480">
        <f>'Battery Classroom Log'!D21</f>
        <v>0</v>
      </c>
      <c r="E19" s="479">
        <f>'Battery Classroom Log'!E21</f>
        <v>0</v>
      </c>
      <c r="F19" s="478">
        <f>'Battery Classroom Log'!F21</f>
        <v>0</v>
      </c>
      <c r="G19" s="477">
        <f t="shared" si="0"/>
        <v>0</v>
      </c>
      <c r="H19" s="476">
        <f t="shared" si="1"/>
        <v>0</v>
      </c>
      <c r="I19" s="476">
        <f t="shared" si="2"/>
        <v>0</v>
      </c>
      <c r="J19" s="475">
        <f t="shared" si="3"/>
        <v>0</v>
      </c>
      <c r="K19" s="474">
        <f>(G19*Conversions!$K$205)+(H19*Conversions!$K$210)+(I19*Conversions!$K$216)+(J19*Conversions!$K$221)</f>
        <v>0</v>
      </c>
      <c r="L19" s="473">
        <f>((G19*Conversions!$D$205)+(H19*Conversions!$D$210)+(I19*Conversions!$D$216)+(J19*Conversions!$D$221))/1000</f>
        <v>0</v>
      </c>
      <c r="M19" s="465">
        <f>L19*Conversions!$B$195/Conversions!$B$148</f>
        <v>0</v>
      </c>
      <c r="N19" s="467">
        <f>$M19*Conversions!$B$175/Conversions!$B$146</f>
        <v>0</v>
      </c>
      <c r="O19" s="466">
        <f>$M19*Conversions!$B$176/Conversions!$B$146</f>
        <v>0</v>
      </c>
      <c r="P19" s="465">
        <f>$M19*Conversions!$B$177/Conversions!$B$146</f>
        <v>0</v>
      </c>
      <c r="Q19" s="467">
        <f>N19+(O19*Conversions!$B$160)+('Battery Calc'!P19*Conversions!$B$161)</f>
        <v>0</v>
      </c>
      <c r="R19" s="464">
        <f>($G19*Conversions!$J$205)+($H19*Conversions!$J$210)+('Battery Calc'!$I19*Conversions!$J$216)+('Battery Calc'!$J19*Conversions!$J$221)</f>
        <v>0</v>
      </c>
      <c r="S19" s="467">
        <f>IF(AND(G19&gt;0,G19&lt;Conversions!$B$197),1,IF(G19&gt;=Conversions!$B$197,2,0))</f>
        <v>0</v>
      </c>
      <c r="T19" s="466">
        <f>IF(AND(H19&gt;0,H19&lt;Conversions!$B$197),1,IF(H19&gt;=Conversions!$B$197,2,0))</f>
        <v>0</v>
      </c>
      <c r="U19" s="466">
        <f>IF(AND(I19&gt;0,I19&lt;Conversions!$B$197),1,IF(I19&gt;=Conversions!$B$197,2,0))</f>
        <v>0</v>
      </c>
      <c r="V19" s="472">
        <f>IF(AND(J19&gt;0,J19&lt;Conversions!$B$197),1,IF(J19&gt;=Conversions!$B$197,2,0))</f>
        <v>0</v>
      </c>
      <c r="W19" s="469">
        <f>($S19*Conversions!$K$208)+($T19*Conversions!$K$213)+($U19*Conversions!$K$219)+($V19*Conversions!$K$224)</f>
        <v>0</v>
      </c>
      <c r="X19" s="471">
        <f>IF($G19=0,0,$L19/(Conversions!$D$208/1000))</f>
        <v>0</v>
      </c>
      <c r="Y19" s="291">
        <f>IF($H19=0,0,$L19/(Conversions!$D$213/1000))</f>
        <v>0</v>
      </c>
      <c r="Z19" s="291">
        <f>IF($I19=0,0,$L19/(Conversions!$D$219/1000))</f>
        <v>0</v>
      </c>
      <c r="AA19" s="470">
        <f>IF($J19=0,0,$L19/(Conversions!$D$224/1000))</f>
        <v>0</v>
      </c>
      <c r="AB19" s="469">
        <f>(X19*Conversions!$B$200*Conversions!$B$199)+(Y19*Conversions!$B$200*Conversions!$B$199)+(Z19*Conversions!$B$200*Conversions!$B$199)+(AA19*Conversions!$B$200*Conversions!$B$199)</f>
        <v>0</v>
      </c>
      <c r="AC19" s="468">
        <f>L19*Conversions!$B$196/Conversions!$B$148</f>
        <v>0</v>
      </c>
      <c r="AD19" s="467">
        <f>$AC19*Conversions!$B$175/Conversions!$B$146</f>
        <v>0</v>
      </c>
      <c r="AE19" s="466">
        <f>$AC19*Conversions!$B$176/Conversions!$B$146</f>
        <v>0</v>
      </c>
      <c r="AF19" s="465">
        <f>$AC19*Conversions!$B$177/Conversions!$B$146</f>
        <v>0</v>
      </c>
      <c r="AG19" s="464">
        <f>AD19+(AE19*Conversions!$B$160)+('Battery Calc'!AF19*Conversions!$B$161)</f>
        <v>0</v>
      </c>
    </row>
    <row r="20" spans="1:33" s="309" customFormat="1" ht="12.75">
      <c r="A20" s="463" t="s">
        <v>101</v>
      </c>
      <c r="B20" s="463"/>
      <c r="C20" s="463"/>
      <c r="D20" s="463"/>
      <c r="E20" s="463"/>
      <c r="F20" s="463"/>
      <c r="G20" s="459">
        <f aca="true" t="shared" si="4" ref="G20:M20">SUM(G4:G19)</f>
        <v>4</v>
      </c>
      <c r="H20" s="459">
        <f t="shared" si="4"/>
        <v>2</v>
      </c>
      <c r="I20" s="459">
        <f t="shared" si="4"/>
        <v>202.66666666666666</v>
      </c>
      <c r="J20" s="459">
        <f t="shared" si="4"/>
        <v>76</v>
      </c>
      <c r="K20" s="462">
        <f t="shared" si="4"/>
        <v>340.4383333333334</v>
      </c>
      <c r="L20" s="461">
        <f t="shared" si="4"/>
        <v>3.531413333333333</v>
      </c>
      <c r="M20" s="461">
        <f t="shared" si="4"/>
        <v>1002.803560539781</v>
      </c>
      <c r="N20" s="461">
        <f>$M20*Conversions!$B$175/Conversions!$B$146</f>
        <v>855.6673175959529</v>
      </c>
      <c r="O20" s="461">
        <f>$M20*Conversions!$B$176/Conversions!$B$146</f>
        <v>0.007958892293411398</v>
      </c>
      <c r="P20" s="461">
        <f>$M20*Conversions!$B$177/Conversions!$B$146</f>
        <v>0.03824689907667144</v>
      </c>
      <c r="Q20" s="461">
        <f>N20+(O20*Conversions!$B$160)+('Battery Calc'!P20*Conversions!$B$161)</f>
        <v>867.2638658281363</v>
      </c>
      <c r="R20" s="461">
        <f>SUM(R4:R19)</f>
        <v>147.92324071353607</v>
      </c>
      <c r="S20" s="461"/>
      <c r="T20" s="461"/>
      <c r="U20" s="461"/>
      <c r="V20" s="461"/>
      <c r="W20" s="462">
        <f>SUM(W4:W19)</f>
        <v>27.09</v>
      </c>
      <c r="X20" s="462"/>
      <c r="Y20" s="462"/>
      <c r="Z20" s="462"/>
      <c r="AA20" s="462"/>
      <c r="AB20" s="462"/>
      <c r="AC20" s="461">
        <f>SUM(AC4:AC19)</f>
        <v>35.10909621145841</v>
      </c>
      <c r="AD20" s="461">
        <f>$AC20*Conversions!$B$175/Conversions!$B$146</f>
        <v>29.957717902702942</v>
      </c>
      <c r="AE20" s="461">
        <f>$AC20*Conversions!$B$176/Conversions!$B$146</f>
        <v>0.00027864830786560686</v>
      </c>
      <c r="AF20" s="461">
        <f>$AC20*Conversions!$B$177/Conversions!$B$146</f>
        <v>0.0013390599239097218</v>
      </c>
      <c r="AG20" s="461">
        <f>AD20+(AE20*Conversions!$B$160)+('Battery Calc'!AF20*Conversions!$B$161)</f>
        <v>30.363723967724678</v>
      </c>
    </row>
    <row r="21" spans="1:22" s="309" customFormat="1" ht="12.75">
      <c r="A21" s="184"/>
      <c r="B21" s="184"/>
      <c r="C21" s="184"/>
      <c r="D21" s="184"/>
      <c r="E21" s="184"/>
      <c r="F21" s="184"/>
      <c r="G21" s="459"/>
      <c r="H21" s="459"/>
      <c r="I21" s="459"/>
      <c r="J21" s="459"/>
      <c r="K21" s="460"/>
      <c r="L21" s="459"/>
      <c r="M21" s="459"/>
      <c r="N21" s="459"/>
      <c r="O21" s="459"/>
      <c r="P21" s="459"/>
      <c r="Q21" s="459"/>
      <c r="R21" s="459"/>
      <c r="S21" s="459"/>
      <c r="T21" s="459"/>
      <c r="U21" s="459"/>
      <c r="V21" s="459"/>
    </row>
    <row r="22" spans="4:12" s="309" customFormat="1" ht="12.75">
      <c r="D22" s="184"/>
      <c r="E22" s="184"/>
      <c r="F22" s="184"/>
      <c r="G22" s="184"/>
      <c r="H22" s="184"/>
      <c r="I22" s="184"/>
      <c r="J22" s="184"/>
      <c r="K22" s="184"/>
      <c r="L22" s="184"/>
    </row>
    <row r="23" spans="4:12" s="309" customFormat="1" ht="12.75">
      <c r="D23" s="184"/>
      <c r="E23" s="184"/>
      <c r="F23" s="184"/>
      <c r="G23" s="184"/>
      <c r="H23" s="184"/>
      <c r="I23" s="184"/>
      <c r="J23" s="184"/>
      <c r="K23" s="184"/>
      <c r="L23" s="184"/>
    </row>
    <row r="24" spans="4:12" ht="12.75">
      <c r="D24" s="173"/>
      <c r="E24" s="173"/>
      <c r="F24" s="173"/>
      <c r="G24" s="173"/>
      <c r="H24" s="173"/>
      <c r="I24" s="173"/>
      <c r="J24" s="173"/>
      <c r="K24" s="173"/>
      <c r="L24" s="173"/>
    </row>
    <row r="25" spans="4:12" ht="12.75">
      <c r="D25" s="173"/>
      <c r="E25" s="173"/>
      <c r="F25" s="173"/>
      <c r="G25" s="173"/>
      <c r="H25" s="173"/>
      <c r="I25" s="173"/>
      <c r="J25" s="173"/>
      <c r="K25" s="173"/>
      <c r="L25" s="173"/>
    </row>
    <row r="26" spans="4:12" ht="12.75">
      <c r="D26" s="173"/>
      <c r="E26" s="173"/>
      <c r="F26" s="173"/>
      <c r="G26" s="173"/>
      <c r="H26" s="173"/>
      <c r="I26" s="173"/>
      <c r="J26" s="173"/>
      <c r="K26" s="173"/>
      <c r="L26" s="173"/>
    </row>
    <row r="27" spans="4:12" ht="12.75">
      <c r="D27" s="173"/>
      <c r="E27" s="173"/>
      <c r="F27" s="173"/>
      <c r="G27" s="173"/>
      <c r="H27" s="173"/>
      <c r="I27" s="173"/>
      <c r="J27" s="173"/>
      <c r="K27" s="173"/>
      <c r="L27" s="173"/>
    </row>
    <row r="29" spans="8:10" ht="12.75">
      <c r="H29" s="1029"/>
      <c r="I29" s="1030"/>
      <c r="J29" s="1029"/>
    </row>
    <row r="30" spans="8:10" ht="51" customHeight="1">
      <c r="H30" s="1029"/>
      <c r="J30" s="1029"/>
    </row>
    <row r="31" spans="8:10" ht="25.5" customHeight="1">
      <c r="H31" s="1031"/>
      <c r="I31" s="1031"/>
      <c r="J31" s="1029"/>
    </row>
    <row r="32" spans="8:10" ht="25.5" customHeight="1">
      <c r="H32" s="1029"/>
      <c r="I32" s="1029"/>
      <c r="J32" s="1029"/>
    </row>
    <row r="33" spans="7:10" ht="12.75">
      <c r="G33" s="299"/>
      <c r="H33" s="1029"/>
      <c r="I33" s="1029"/>
      <c r="J33" s="1029"/>
    </row>
    <row r="35" spans="8:10" ht="12.75">
      <c r="H35" s="297"/>
      <c r="I35" s="297"/>
      <c r="J35" s="297"/>
    </row>
    <row r="36" ht="18.75" customHeight="1"/>
    <row r="38" ht="18.75" customHeight="1"/>
    <row r="40" ht="22.5" customHeight="1"/>
    <row r="42" ht="22.5" customHeight="1"/>
    <row r="47" ht="22.5" customHeight="1"/>
    <row r="48" ht="22.5" customHeight="1"/>
    <row r="52" ht="22.5" customHeight="1"/>
    <row r="53" ht="56.25" customHeight="1"/>
    <row r="54" ht="51" customHeight="1"/>
    <row r="55" ht="12.75" customHeight="1"/>
    <row r="56" ht="25.5" customHeight="1"/>
    <row r="57" ht="33.75" customHeight="1"/>
    <row r="60" ht="150.75" customHeight="1"/>
    <row r="62" ht="84.75" customHeight="1"/>
    <row r="64" ht="155.25" customHeight="1"/>
    <row r="66" ht="141" customHeight="1"/>
  </sheetData>
  <sheetProtection/>
  <mergeCells count="6">
    <mergeCell ref="N2:P2"/>
    <mergeCell ref="AD2:AF2"/>
    <mergeCell ref="B2:E2"/>
    <mergeCell ref="G2:J2"/>
    <mergeCell ref="S2:V2"/>
    <mergeCell ref="X2:AA2"/>
  </mergeCells>
  <dataValidations count="1">
    <dataValidation type="whole" allowBlank="1" showInputMessage="1" showErrorMessage="1" sqref="G4:J19">
      <formula1>0</formula1>
      <formula2>40</formula2>
    </dataValidation>
  </dataValidations>
  <printOptions headings="1"/>
  <pageMargins left="0.75" right="0.75" top="1" bottom="1" header="0.5" footer="0.5"/>
  <pageSetup fitToHeight="1" fitToWidth="1" horizontalDpi="600" verticalDpi="600" orientation="landscape" paperSize="17" scale="50" r:id="rId1"/>
</worksheet>
</file>

<file path=xl/worksheets/sheet12.xml><?xml version="1.0" encoding="utf-8"?>
<worksheet xmlns="http://schemas.openxmlformats.org/spreadsheetml/2006/main" xmlns:r="http://schemas.openxmlformats.org/officeDocument/2006/relationships">
  <sheetPr codeName="Sheet27">
    <tabColor rgb="FFF2F200"/>
    <pageSetUpPr fitToPage="1"/>
  </sheetPr>
  <dimension ref="A1:S39"/>
  <sheetViews>
    <sheetView zoomScalePageLayoutView="0" workbookViewId="0" topLeftCell="A1">
      <selection activeCell="A1" sqref="A1"/>
    </sheetView>
  </sheetViews>
  <sheetFormatPr defaultColWidth="11.421875" defaultRowHeight="12.75"/>
  <cols>
    <col min="1" max="1" width="26.00390625" style="169" customWidth="1"/>
    <col min="2" max="5" width="6.8515625" style="169" customWidth="1"/>
    <col min="6" max="23" width="12.28125" style="169" customWidth="1"/>
    <col min="24" max="16384" width="11.421875" style="169" customWidth="1"/>
  </cols>
  <sheetData>
    <row r="1" spans="1:8" ht="15.75">
      <c r="A1" s="342" t="s">
        <v>132</v>
      </c>
      <c r="F1" s="590"/>
      <c r="H1" s="424"/>
    </row>
    <row r="2" ht="12.75">
      <c r="A2" s="169" t="s">
        <v>131</v>
      </c>
    </row>
    <row r="4" spans="1:12" ht="12.75">
      <c r="A4" s="1265" t="s">
        <v>130</v>
      </c>
      <c r="B4" s="1266"/>
      <c r="C4" s="1266"/>
      <c r="D4" s="1266"/>
      <c r="E4" s="1266"/>
      <c r="F4" s="1266"/>
      <c r="G4" s="1266"/>
      <c r="H4" s="1267"/>
      <c r="I4" s="1268" t="s">
        <v>129</v>
      </c>
      <c r="J4" s="1266"/>
      <c r="K4" s="1267"/>
      <c r="L4" s="589"/>
    </row>
    <row r="5" spans="1:19" ht="12.75" customHeight="1">
      <c r="A5" s="1276" t="s">
        <v>97</v>
      </c>
      <c r="B5" s="1269" t="s">
        <v>128</v>
      </c>
      <c r="C5" s="1270"/>
      <c r="D5" s="1270"/>
      <c r="E5" s="1271"/>
      <c r="F5" s="1272" t="s">
        <v>111</v>
      </c>
      <c r="G5" s="1282" t="s">
        <v>121</v>
      </c>
      <c r="H5" s="1274" t="s">
        <v>102</v>
      </c>
      <c r="I5" s="1278" t="s">
        <v>127</v>
      </c>
      <c r="J5" s="1280" t="s">
        <v>107</v>
      </c>
      <c r="K5" s="1263" t="s">
        <v>102</v>
      </c>
      <c r="L5" s="542"/>
      <c r="R5" s="1274" t="s">
        <v>67</v>
      </c>
      <c r="S5" s="1263" t="s">
        <v>126</v>
      </c>
    </row>
    <row r="6" spans="1:19" ht="66.75" customHeight="1">
      <c r="A6" s="1277"/>
      <c r="B6" s="588" t="s">
        <v>96</v>
      </c>
      <c r="C6" s="587" t="s">
        <v>95</v>
      </c>
      <c r="D6" s="587" t="s">
        <v>94</v>
      </c>
      <c r="E6" s="586" t="s">
        <v>93</v>
      </c>
      <c r="F6" s="1273"/>
      <c r="G6" s="1283"/>
      <c r="H6" s="1275"/>
      <c r="I6" s="1279"/>
      <c r="J6" s="1281"/>
      <c r="K6" s="1264"/>
      <c r="R6" s="1275"/>
      <c r="S6" s="1264"/>
    </row>
    <row r="7" spans="1:19" ht="12.75">
      <c r="A7" s="573" t="str">
        <f>'Battery Classroom Log'!A6</f>
        <v>flashlight</v>
      </c>
      <c r="B7" s="585">
        <f>'Battery Calc'!G4</f>
        <v>0</v>
      </c>
      <c r="C7" s="583">
        <f>'Battery Calc'!H4</f>
        <v>2</v>
      </c>
      <c r="D7" s="583">
        <f>'Battery Calc'!I4</f>
        <v>0</v>
      </c>
      <c r="E7" s="580">
        <f>'Battery Calc'!J4</f>
        <v>0</v>
      </c>
      <c r="F7" s="583">
        <f>'Battery Calc'!L4</f>
        <v>0.0052</v>
      </c>
      <c r="G7" s="584">
        <f>'Battery Calc'!K4</f>
        <v>2.245</v>
      </c>
      <c r="H7" s="583">
        <f>'Battery Calc'!Q4</f>
        <v>1.2770445361742724</v>
      </c>
      <c r="I7" s="582">
        <f>'Battery Calc'!W4</f>
        <v>3.2475</v>
      </c>
      <c r="J7" s="581">
        <f>'Battery Calc'!AB4</f>
        <v>0.004126984126984127</v>
      </c>
      <c r="K7" s="580">
        <f>'Battery Calc'!AG4</f>
        <v>0.04471053080697671</v>
      </c>
      <c r="Q7" s="169" t="str">
        <f aca="true" t="shared" si="0" ref="Q7:Q22">A7</f>
        <v>flashlight</v>
      </c>
      <c r="R7" s="566">
        <f aca="true" t="shared" si="1" ref="R7:R22">H7</f>
        <v>1.2770445361742724</v>
      </c>
      <c r="S7" s="566">
        <f aca="true" t="shared" si="2" ref="S7:S22">K7</f>
        <v>0.04471053080697671</v>
      </c>
    </row>
    <row r="8" spans="1:19" ht="12.75">
      <c r="A8" s="573" t="str">
        <f>'Battery Classroom Log'!A7</f>
        <v>radio control car</v>
      </c>
      <c r="B8" s="579">
        <f>'Battery Calc'!G5</f>
        <v>0</v>
      </c>
      <c r="C8" s="577">
        <f>'Battery Calc'!H5</f>
        <v>0</v>
      </c>
      <c r="D8" s="577">
        <f>'Battery Calc'!I5</f>
        <v>50.666666666666664</v>
      </c>
      <c r="E8" s="574">
        <f>'Battery Calc'!J5</f>
        <v>0</v>
      </c>
      <c r="F8" s="577">
        <f>'Battery Calc'!L5</f>
        <v>0.4843733333333333</v>
      </c>
      <c r="G8" s="578">
        <f>'Battery Calc'!K5</f>
        <v>60.67333333333333</v>
      </c>
      <c r="H8" s="577">
        <f>'Battery Calc'!Q5</f>
        <v>118.95506130804864</v>
      </c>
      <c r="I8" s="576">
        <f>'Battery Calc'!W5</f>
        <v>4.225</v>
      </c>
      <c r="J8" s="575">
        <f>'Battery Calc'!AB5</f>
        <v>0.17939753086419752</v>
      </c>
      <c r="K8" s="574">
        <f>'Battery Calc'!AG5</f>
        <v>4.164728623476539</v>
      </c>
      <c r="Q8" s="169" t="str">
        <f t="shared" si="0"/>
        <v>radio control car</v>
      </c>
      <c r="R8" s="566">
        <f t="shared" si="1"/>
        <v>118.95506130804864</v>
      </c>
      <c r="S8" s="566">
        <f t="shared" si="2"/>
        <v>4.164728623476539</v>
      </c>
    </row>
    <row r="9" spans="1:19" ht="12.75">
      <c r="A9" s="573" t="str">
        <f>'Battery Classroom Log'!A8</f>
        <v>Portable Boom Box</v>
      </c>
      <c r="B9" s="579">
        <f>'Battery Calc'!G6</f>
        <v>0</v>
      </c>
      <c r="C9" s="577">
        <f>'Battery Calc'!H6</f>
        <v>0</v>
      </c>
      <c r="D9" s="577">
        <f>'Battery Calc'!I6</f>
        <v>0</v>
      </c>
      <c r="E9" s="574">
        <f>'Battery Calc'!J6</f>
        <v>76</v>
      </c>
      <c r="F9" s="577">
        <f>'Battery Calc'!L6</f>
        <v>1.5830799999999998</v>
      </c>
      <c r="G9" s="578">
        <f>'Battery Calc'!K6</f>
        <v>91.01</v>
      </c>
      <c r="H9" s="577">
        <f>'Battery Calc'!Q6</f>
        <v>388.7814739089937</v>
      </c>
      <c r="I9" s="576">
        <f>'Battery Calc'!W6</f>
        <v>4.6725</v>
      </c>
      <c r="J9" s="575">
        <f>'Battery Calc'!AB6</f>
        <v>0.27773333333333333</v>
      </c>
      <c r="K9" s="574">
        <f>'Battery Calc'!AG6</f>
        <v>13.611605213443982</v>
      </c>
      <c r="Q9" s="169" t="str">
        <f t="shared" si="0"/>
        <v>Portable Boom Box</v>
      </c>
      <c r="R9" s="566">
        <f t="shared" si="1"/>
        <v>388.7814739089937</v>
      </c>
      <c r="S9" s="566">
        <f t="shared" si="2"/>
        <v>13.611605213443982</v>
      </c>
    </row>
    <row r="10" spans="1:19" ht="12.75">
      <c r="A10" s="573" t="str">
        <f>'Battery Classroom Log'!A9</f>
        <v>TV remote control</v>
      </c>
      <c r="B10" s="579">
        <f>'Battery Calc'!G7</f>
        <v>2</v>
      </c>
      <c r="C10" s="577">
        <f>'Battery Calc'!H7</f>
        <v>0</v>
      </c>
      <c r="D10" s="577">
        <f>'Battery Calc'!I7</f>
        <v>0</v>
      </c>
      <c r="E10" s="574">
        <f>'Battery Calc'!J7</f>
        <v>0</v>
      </c>
      <c r="F10" s="577">
        <f>'Battery Calc'!L7</f>
        <v>0.00282</v>
      </c>
      <c r="G10" s="578">
        <f>'Battery Calc'!K7</f>
        <v>2.245</v>
      </c>
      <c r="H10" s="577">
        <f>'Battery Calc'!Q7</f>
        <v>0.692551075386817</v>
      </c>
      <c r="I10" s="576">
        <f>'Battery Calc'!W7</f>
        <v>3.2475</v>
      </c>
      <c r="J10" s="575">
        <f>'Battery Calc'!AB7</f>
        <v>0.005875000000000002</v>
      </c>
      <c r="K10" s="574">
        <f>'Battery Calc'!AG7</f>
        <v>0.02424686478378353</v>
      </c>
      <c r="Q10" s="169" t="str">
        <f t="shared" si="0"/>
        <v>TV remote control</v>
      </c>
      <c r="R10" s="566">
        <f t="shared" si="1"/>
        <v>0.692551075386817</v>
      </c>
      <c r="S10" s="566">
        <f t="shared" si="2"/>
        <v>0.02424686478378353</v>
      </c>
    </row>
    <row r="11" spans="1:19" ht="12.75">
      <c r="A11" s="573" t="str">
        <f>'Battery Classroom Log'!A10</f>
        <v>Boom Box remote control</v>
      </c>
      <c r="B11" s="579">
        <f>'Battery Calc'!G8</f>
        <v>2</v>
      </c>
      <c r="C11" s="577">
        <f>'Battery Calc'!H8</f>
        <v>0</v>
      </c>
      <c r="D11" s="577">
        <f>'Battery Calc'!I8</f>
        <v>0</v>
      </c>
      <c r="E11" s="574">
        <f>'Battery Calc'!J8</f>
        <v>0</v>
      </c>
      <c r="F11" s="577">
        <f>'Battery Calc'!L8</f>
        <v>0.00282</v>
      </c>
      <c r="G11" s="578">
        <f>'Battery Calc'!K8</f>
        <v>2.245</v>
      </c>
      <c r="H11" s="577">
        <f>'Battery Calc'!Q8</f>
        <v>0.692551075386817</v>
      </c>
      <c r="I11" s="576">
        <f>'Battery Calc'!W8</f>
        <v>3.2475</v>
      </c>
      <c r="J11" s="575">
        <f>'Battery Calc'!AB8</f>
        <v>0.005875000000000002</v>
      </c>
      <c r="K11" s="574">
        <f>'Battery Calc'!AG8</f>
        <v>0.02424686478378353</v>
      </c>
      <c r="Q11" s="169" t="str">
        <f t="shared" si="0"/>
        <v>Boom Box remote control</v>
      </c>
      <c r="R11" s="566">
        <f t="shared" si="1"/>
        <v>0.692551075386817</v>
      </c>
      <c r="S11" s="566">
        <f t="shared" si="2"/>
        <v>0.02424686478378353</v>
      </c>
    </row>
    <row r="12" spans="1:19" ht="12.75">
      <c r="A12" s="573" t="str">
        <f>'Battery Classroom Log'!A11</f>
        <v>temp</v>
      </c>
      <c r="B12" s="579">
        <f>'Battery Calc'!G9</f>
        <v>0</v>
      </c>
      <c r="C12" s="577">
        <f>'Battery Calc'!H9</f>
        <v>0</v>
      </c>
      <c r="D12" s="577">
        <f>'Battery Calc'!I9</f>
        <v>152</v>
      </c>
      <c r="E12" s="574">
        <f>'Battery Calc'!J9</f>
        <v>0</v>
      </c>
      <c r="F12" s="577">
        <f>'Battery Calc'!L9</f>
        <v>1.4531200000000002</v>
      </c>
      <c r="G12" s="578">
        <f>'Battery Calc'!K9</f>
        <v>182.02</v>
      </c>
      <c r="H12" s="577">
        <f>'Battery Calc'!Q9</f>
        <v>356.86518392414604</v>
      </c>
      <c r="I12" s="576">
        <f>'Battery Calc'!W9</f>
        <v>8.45</v>
      </c>
      <c r="J12" s="575">
        <f>'Battery Calc'!AB9</f>
        <v>0.5381925925925927</v>
      </c>
      <c r="K12" s="574">
        <f>'Battery Calc'!AG9</f>
        <v>12.49418587042962</v>
      </c>
      <c r="Q12" s="169" t="str">
        <f t="shared" si="0"/>
        <v>temp</v>
      </c>
      <c r="R12" s="566">
        <f t="shared" si="1"/>
        <v>356.86518392414604</v>
      </c>
      <c r="S12" s="566">
        <f t="shared" si="2"/>
        <v>12.49418587042962</v>
      </c>
    </row>
    <row r="13" spans="1:19" ht="12.75" hidden="1">
      <c r="A13" s="573">
        <f>'Battery Classroom Log'!A12</f>
        <v>0</v>
      </c>
      <c r="B13" s="579">
        <f>'Battery Calc'!G10</f>
        <v>0</v>
      </c>
      <c r="C13" s="577">
        <f>'Battery Calc'!H10</f>
        <v>0</v>
      </c>
      <c r="D13" s="577">
        <f>'Battery Calc'!I10</f>
        <v>0</v>
      </c>
      <c r="E13" s="574">
        <f>'Battery Calc'!J10</f>
        <v>0</v>
      </c>
      <c r="F13" s="577">
        <f>'Battery Calc'!L10</f>
        <v>0</v>
      </c>
      <c r="G13" s="578">
        <f>'Battery Calc'!K10</f>
        <v>0</v>
      </c>
      <c r="H13" s="577">
        <f>'Battery Calc'!Q10</f>
        <v>0</v>
      </c>
      <c r="I13" s="576">
        <f>'Battery Calc'!W10</f>
        <v>0</v>
      </c>
      <c r="J13" s="575">
        <f>'Battery Calc'!AB10</f>
        <v>0</v>
      </c>
      <c r="K13" s="574">
        <f>'Battery Calc'!AG10</f>
        <v>0</v>
      </c>
      <c r="Q13" s="169">
        <f t="shared" si="0"/>
        <v>0</v>
      </c>
      <c r="R13" s="566">
        <f t="shared" si="1"/>
        <v>0</v>
      </c>
      <c r="S13" s="566">
        <f t="shared" si="2"/>
        <v>0</v>
      </c>
    </row>
    <row r="14" spans="1:19" ht="12.75" hidden="1">
      <c r="A14" s="573">
        <f>'Battery Classroom Log'!A13</f>
        <v>0</v>
      </c>
      <c r="B14" s="579">
        <f>'Battery Calc'!G11</f>
        <v>0</v>
      </c>
      <c r="C14" s="577">
        <f>'Battery Calc'!H11</f>
        <v>0</v>
      </c>
      <c r="D14" s="577">
        <f>'Battery Calc'!I11</f>
        <v>0</v>
      </c>
      <c r="E14" s="574">
        <f>'Battery Calc'!J11</f>
        <v>0</v>
      </c>
      <c r="F14" s="577">
        <f>'Battery Calc'!L11</f>
        <v>0</v>
      </c>
      <c r="G14" s="578">
        <f>'Battery Calc'!K11</f>
        <v>0</v>
      </c>
      <c r="H14" s="577">
        <f>'Battery Calc'!Q11</f>
        <v>0</v>
      </c>
      <c r="I14" s="576">
        <f>'Battery Calc'!W11</f>
        <v>0</v>
      </c>
      <c r="J14" s="575">
        <f>'Battery Calc'!AB11</f>
        <v>0</v>
      </c>
      <c r="K14" s="574">
        <f>'Battery Calc'!AG11</f>
        <v>0</v>
      </c>
      <c r="Q14" s="169">
        <f t="shared" si="0"/>
        <v>0</v>
      </c>
      <c r="R14" s="566">
        <f t="shared" si="1"/>
        <v>0</v>
      </c>
      <c r="S14" s="566">
        <f t="shared" si="2"/>
        <v>0</v>
      </c>
    </row>
    <row r="15" spans="1:19" ht="12.75" hidden="1">
      <c r="A15" s="573">
        <f>'Battery Classroom Log'!A14</f>
        <v>0</v>
      </c>
      <c r="B15" s="579">
        <f>'Battery Calc'!G12</f>
        <v>0</v>
      </c>
      <c r="C15" s="577">
        <f>'Battery Calc'!H12</f>
        <v>0</v>
      </c>
      <c r="D15" s="577">
        <f>'Battery Calc'!I12</f>
        <v>0</v>
      </c>
      <c r="E15" s="574">
        <f>'Battery Calc'!J12</f>
        <v>0</v>
      </c>
      <c r="F15" s="577">
        <f>'Battery Calc'!L12</f>
        <v>0</v>
      </c>
      <c r="G15" s="578">
        <f>'Battery Calc'!K12</f>
        <v>0</v>
      </c>
      <c r="H15" s="577">
        <f>'Battery Calc'!Q12</f>
        <v>0</v>
      </c>
      <c r="I15" s="576">
        <f>'Battery Calc'!W12</f>
        <v>0</v>
      </c>
      <c r="J15" s="575">
        <f>'Battery Calc'!AB12</f>
        <v>0</v>
      </c>
      <c r="K15" s="574">
        <f>'Battery Calc'!AG12</f>
        <v>0</v>
      </c>
      <c r="Q15" s="169">
        <f t="shared" si="0"/>
        <v>0</v>
      </c>
      <c r="R15" s="566">
        <f t="shared" si="1"/>
        <v>0</v>
      </c>
      <c r="S15" s="566">
        <f t="shared" si="2"/>
        <v>0</v>
      </c>
    </row>
    <row r="16" spans="1:19" ht="12.75" hidden="1">
      <c r="A16" s="573">
        <f>'Battery Classroom Log'!A15</f>
        <v>0</v>
      </c>
      <c r="B16" s="579">
        <f>'Battery Calc'!G13</f>
        <v>0</v>
      </c>
      <c r="C16" s="577">
        <f>'Battery Calc'!H13</f>
        <v>0</v>
      </c>
      <c r="D16" s="577">
        <f>'Battery Calc'!I13</f>
        <v>0</v>
      </c>
      <c r="E16" s="574">
        <f>'Battery Calc'!J13</f>
        <v>0</v>
      </c>
      <c r="F16" s="577">
        <f>'Battery Calc'!L13</f>
        <v>0</v>
      </c>
      <c r="G16" s="578">
        <f>'Battery Calc'!K13</f>
        <v>0</v>
      </c>
      <c r="H16" s="577">
        <f>'Battery Calc'!Q13</f>
        <v>0</v>
      </c>
      <c r="I16" s="576">
        <f>'Battery Calc'!W13</f>
        <v>0</v>
      </c>
      <c r="J16" s="575">
        <f>'Battery Calc'!AB13</f>
        <v>0</v>
      </c>
      <c r="K16" s="574">
        <f>'Battery Calc'!AG13</f>
        <v>0</v>
      </c>
      <c r="Q16" s="169">
        <f t="shared" si="0"/>
        <v>0</v>
      </c>
      <c r="R16" s="566">
        <f t="shared" si="1"/>
        <v>0</v>
      </c>
      <c r="S16" s="566">
        <f t="shared" si="2"/>
        <v>0</v>
      </c>
    </row>
    <row r="17" spans="1:19" ht="12.75" hidden="1">
      <c r="A17" s="573">
        <f>'Battery Classroom Log'!A16</f>
        <v>0</v>
      </c>
      <c r="B17" s="579">
        <f>'Battery Calc'!G14</f>
        <v>0</v>
      </c>
      <c r="C17" s="577">
        <f>'Battery Calc'!H14</f>
        <v>0</v>
      </c>
      <c r="D17" s="577">
        <f>'Battery Calc'!I14</f>
        <v>0</v>
      </c>
      <c r="E17" s="574">
        <f>'Battery Calc'!J14</f>
        <v>0</v>
      </c>
      <c r="F17" s="577">
        <f>'Battery Calc'!L14</f>
        <v>0</v>
      </c>
      <c r="G17" s="578">
        <f>'Battery Calc'!K14</f>
        <v>0</v>
      </c>
      <c r="H17" s="577">
        <f>'Battery Calc'!Q14</f>
        <v>0</v>
      </c>
      <c r="I17" s="576">
        <f>'Battery Calc'!W14</f>
        <v>0</v>
      </c>
      <c r="J17" s="575">
        <f>'Battery Calc'!AB14</f>
        <v>0</v>
      </c>
      <c r="K17" s="574">
        <f>'Battery Calc'!AG14</f>
        <v>0</v>
      </c>
      <c r="Q17" s="169">
        <f t="shared" si="0"/>
        <v>0</v>
      </c>
      <c r="R17" s="566">
        <f t="shared" si="1"/>
        <v>0</v>
      </c>
      <c r="S17" s="566">
        <f t="shared" si="2"/>
        <v>0</v>
      </c>
    </row>
    <row r="18" spans="1:19" ht="12.75" hidden="1">
      <c r="A18" s="573">
        <f>'Battery Classroom Log'!A17</f>
        <v>0</v>
      </c>
      <c r="B18" s="579">
        <f>'Battery Calc'!G15</f>
        <v>0</v>
      </c>
      <c r="C18" s="577">
        <f>'Battery Calc'!H15</f>
        <v>0</v>
      </c>
      <c r="D18" s="577">
        <f>'Battery Calc'!I15</f>
        <v>0</v>
      </c>
      <c r="E18" s="574">
        <f>'Battery Calc'!J15</f>
        <v>0</v>
      </c>
      <c r="F18" s="577">
        <f>'Battery Calc'!L15</f>
        <v>0</v>
      </c>
      <c r="G18" s="578">
        <f>'Battery Calc'!K15</f>
        <v>0</v>
      </c>
      <c r="H18" s="577">
        <f>'Battery Calc'!Q15</f>
        <v>0</v>
      </c>
      <c r="I18" s="576">
        <f>'Battery Calc'!W15</f>
        <v>0</v>
      </c>
      <c r="J18" s="575">
        <f>'Battery Calc'!AB15</f>
        <v>0</v>
      </c>
      <c r="K18" s="574">
        <f>'Battery Calc'!AG15</f>
        <v>0</v>
      </c>
      <c r="Q18" s="169">
        <f t="shared" si="0"/>
        <v>0</v>
      </c>
      <c r="R18" s="566">
        <f t="shared" si="1"/>
        <v>0</v>
      </c>
      <c r="S18" s="566">
        <f t="shared" si="2"/>
        <v>0</v>
      </c>
    </row>
    <row r="19" spans="1:19" ht="12.75" hidden="1">
      <c r="A19" s="573">
        <f>'Battery Classroom Log'!A18</f>
        <v>0</v>
      </c>
      <c r="B19" s="579">
        <f>'Battery Calc'!G16</f>
        <v>0</v>
      </c>
      <c r="C19" s="577">
        <f>'Battery Calc'!H16</f>
        <v>0</v>
      </c>
      <c r="D19" s="577">
        <f>'Battery Calc'!I16</f>
        <v>0</v>
      </c>
      <c r="E19" s="574">
        <f>'Battery Calc'!J16</f>
        <v>0</v>
      </c>
      <c r="F19" s="577">
        <f>'Battery Calc'!L16</f>
        <v>0</v>
      </c>
      <c r="G19" s="578">
        <f>'Battery Calc'!K16</f>
        <v>0</v>
      </c>
      <c r="H19" s="577">
        <f>'Battery Calc'!Q16</f>
        <v>0</v>
      </c>
      <c r="I19" s="576">
        <f>'Battery Calc'!W16</f>
        <v>0</v>
      </c>
      <c r="J19" s="575">
        <f>'Battery Calc'!AB16</f>
        <v>0</v>
      </c>
      <c r="K19" s="574">
        <f>'Battery Calc'!AG16</f>
        <v>0</v>
      </c>
      <c r="Q19" s="169">
        <f t="shared" si="0"/>
        <v>0</v>
      </c>
      <c r="R19" s="566">
        <f t="shared" si="1"/>
        <v>0</v>
      </c>
      <c r="S19" s="566">
        <f t="shared" si="2"/>
        <v>0</v>
      </c>
    </row>
    <row r="20" spans="1:19" ht="12.75" hidden="1">
      <c r="A20" s="573">
        <f>'Battery Classroom Log'!A19</f>
        <v>0</v>
      </c>
      <c r="B20" s="579">
        <f>'Battery Calc'!G17</f>
        <v>0</v>
      </c>
      <c r="C20" s="577">
        <f>'Battery Calc'!H17</f>
        <v>0</v>
      </c>
      <c r="D20" s="577">
        <f>'Battery Calc'!I17</f>
        <v>0</v>
      </c>
      <c r="E20" s="574">
        <f>'Battery Calc'!J17</f>
        <v>0</v>
      </c>
      <c r="F20" s="577">
        <f>'Battery Calc'!L17</f>
        <v>0</v>
      </c>
      <c r="G20" s="578">
        <f>'Battery Calc'!K17</f>
        <v>0</v>
      </c>
      <c r="H20" s="577">
        <f>'Battery Calc'!Q17</f>
        <v>0</v>
      </c>
      <c r="I20" s="576">
        <f>'Battery Calc'!W17</f>
        <v>0</v>
      </c>
      <c r="J20" s="575">
        <f>'Battery Calc'!AB17</f>
        <v>0</v>
      </c>
      <c r="K20" s="574">
        <f>'Battery Calc'!AG17</f>
        <v>0</v>
      </c>
      <c r="Q20" s="169">
        <f t="shared" si="0"/>
        <v>0</v>
      </c>
      <c r="R20" s="566">
        <f t="shared" si="1"/>
        <v>0</v>
      </c>
      <c r="S20" s="566">
        <f t="shared" si="2"/>
        <v>0</v>
      </c>
    </row>
    <row r="21" spans="1:19" ht="12.75" hidden="1">
      <c r="A21" s="573">
        <f>'Battery Classroom Log'!A20</f>
        <v>0</v>
      </c>
      <c r="B21" s="579">
        <f>'Battery Calc'!G18</f>
        <v>0</v>
      </c>
      <c r="C21" s="577">
        <f>'Battery Calc'!H18</f>
        <v>0</v>
      </c>
      <c r="D21" s="577">
        <f>'Battery Calc'!I18</f>
        <v>0</v>
      </c>
      <c r="E21" s="574">
        <f>'Battery Calc'!J18</f>
        <v>0</v>
      </c>
      <c r="F21" s="577">
        <f>'Battery Calc'!L18</f>
        <v>0</v>
      </c>
      <c r="G21" s="578">
        <f>'Battery Calc'!K18</f>
        <v>0</v>
      </c>
      <c r="H21" s="577">
        <f>'Battery Calc'!Q18</f>
        <v>0</v>
      </c>
      <c r="I21" s="576">
        <f>'Battery Calc'!W18</f>
        <v>0</v>
      </c>
      <c r="J21" s="575">
        <f>'Battery Calc'!AB18</f>
        <v>0</v>
      </c>
      <c r="K21" s="574">
        <f>'Battery Calc'!AG18</f>
        <v>0</v>
      </c>
      <c r="Q21" s="169">
        <f t="shared" si="0"/>
        <v>0</v>
      </c>
      <c r="R21" s="566">
        <f t="shared" si="1"/>
        <v>0</v>
      </c>
      <c r="S21" s="566">
        <f t="shared" si="2"/>
        <v>0</v>
      </c>
    </row>
    <row r="22" spans="1:19" ht="12.75" hidden="1">
      <c r="A22" s="573">
        <f>'Battery Classroom Log'!A21</f>
        <v>0</v>
      </c>
      <c r="B22" s="572">
        <f>'Battery Calc'!G19</f>
        <v>0</v>
      </c>
      <c r="C22" s="570">
        <f>'Battery Calc'!H19</f>
        <v>0</v>
      </c>
      <c r="D22" s="570">
        <f>'Battery Calc'!I19</f>
        <v>0</v>
      </c>
      <c r="E22" s="567">
        <f>'Battery Calc'!J19</f>
        <v>0</v>
      </c>
      <c r="F22" s="570">
        <f>'Battery Calc'!L19</f>
        <v>0</v>
      </c>
      <c r="G22" s="571">
        <f>'Battery Calc'!K19</f>
        <v>0</v>
      </c>
      <c r="H22" s="570">
        <f>'Battery Calc'!Q19</f>
        <v>0</v>
      </c>
      <c r="I22" s="569">
        <f>'Battery Calc'!W19</f>
        <v>0</v>
      </c>
      <c r="J22" s="568">
        <f>'Battery Calc'!AB19</f>
        <v>0</v>
      </c>
      <c r="K22" s="567">
        <f>'Battery Calc'!AG19</f>
        <v>0</v>
      </c>
      <c r="Q22" s="169">
        <f t="shared" si="0"/>
        <v>0</v>
      </c>
      <c r="R22" s="566">
        <f t="shared" si="1"/>
        <v>0</v>
      </c>
      <c r="S22" s="566">
        <f t="shared" si="2"/>
        <v>0</v>
      </c>
    </row>
    <row r="23" spans="1:11" s="184" customFormat="1" ht="12.75">
      <c r="A23" s="184" t="s">
        <v>101</v>
      </c>
      <c r="B23" s="565">
        <f aca="true" t="shared" si="3" ref="B23:K23">SUM(B7:B22)</f>
        <v>4</v>
      </c>
      <c r="C23" s="565">
        <f t="shared" si="3"/>
        <v>2</v>
      </c>
      <c r="D23" s="565">
        <f t="shared" si="3"/>
        <v>202.66666666666666</v>
      </c>
      <c r="E23" s="565">
        <f t="shared" si="3"/>
        <v>76</v>
      </c>
      <c r="F23" s="565">
        <f>SUM(F7:F22)</f>
        <v>3.531413333333333</v>
      </c>
      <c r="G23" s="460">
        <f t="shared" si="3"/>
        <v>340.4383333333334</v>
      </c>
      <c r="H23" s="565">
        <f>SUM(H7:H22)</f>
        <v>867.2638658281362</v>
      </c>
      <c r="I23" s="460">
        <f t="shared" si="3"/>
        <v>27.09</v>
      </c>
      <c r="J23" s="460">
        <f t="shared" si="3"/>
        <v>1.0112004409171078</v>
      </c>
      <c r="K23" s="565">
        <f t="shared" si="3"/>
        <v>30.36372396772468</v>
      </c>
    </row>
    <row r="24" spans="2:11" s="184" customFormat="1" ht="12.75">
      <c r="B24" s="565"/>
      <c r="C24" s="565"/>
      <c r="D24" s="565"/>
      <c r="E24" s="565"/>
      <c r="F24" s="565"/>
      <c r="G24" s="460"/>
      <c r="H24" s="565"/>
      <c r="I24" s="460"/>
      <c r="J24" s="460"/>
      <c r="K24" s="565"/>
    </row>
    <row r="25" spans="1:11" s="184" customFormat="1" ht="12.75">
      <c r="A25" s="184" t="s">
        <v>125</v>
      </c>
      <c r="B25" s="565"/>
      <c r="C25" s="565"/>
      <c r="D25" s="565"/>
      <c r="E25" s="565"/>
      <c r="F25" s="565"/>
      <c r="G25" s="460"/>
      <c r="H25" s="565"/>
      <c r="I25" s="460"/>
      <c r="J25" s="460"/>
      <c r="K25" s="565"/>
    </row>
    <row r="26" spans="1:17" s="309" customFormat="1" ht="275.25" customHeight="1">
      <c r="A26" s="184"/>
      <c r="B26" s="459"/>
      <c r="C26" s="459"/>
      <c r="D26" s="459"/>
      <c r="E26" s="459"/>
      <c r="F26" s="460"/>
      <c r="G26" s="459"/>
      <c r="H26" s="459"/>
      <c r="I26" s="459"/>
      <c r="J26" s="459"/>
      <c r="K26" s="459"/>
      <c r="L26" s="459"/>
      <c r="M26" s="459"/>
      <c r="N26" s="459"/>
      <c r="O26" s="459"/>
      <c r="P26" s="459"/>
      <c r="Q26" s="459"/>
    </row>
    <row r="27" ht="19.5" customHeight="1"/>
    <row r="28" ht="19.5" customHeight="1">
      <c r="A28" s="399" t="str">
        <f>CONCATENATE("By switching to NiMH batteries, your classroom can prevent the emission of ",ROUND(H23-K23,0)," lbs of CO2e and save $",ROUND(G23-I23-J23-Conversions!K226,2)," in one school year")</f>
        <v>By switching to NiMH batteries, your classroom can prevent the emission of 837 lbs of CO2e and save $282.35 in one school year</v>
      </c>
    </row>
    <row r="29" spans="1:17" ht="19.5" customHeight="1">
      <c r="A29" s="399"/>
      <c r="P29" s="173"/>
      <c r="Q29" s="173"/>
    </row>
    <row r="30" spans="1:17" ht="69.75" customHeight="1">
      <c r="A30" s="564"/>
      <c r="B30" s="1287" t="s">
        <v>111</v>
      </c>
      <c r="C30" s="1288"/>
      <c r="D30" s="1289" t="s">
        <v>121</v>
      </c>
      <c r="E30" s="1288"/>
      <c r="F30" s="563" t="s">
        <v>110</v>
      </c>
      <c r="G30" s="563" t="s">
        <v>123</v>
      </c>
      <c r="H30" s="562" t="s">
        <v>122</v>
      </c>
      <c r="I30" s="1020" t="s">
        <v>1010</v>
      </c>
      <c r="J30" s="1028" t="s">
        <v>1019</v>
      </c>
      <c r="K30" s="561" t="s">
        <v>124</v>
      </c>
      <c r="L30" s="560" t="s">
        <v>106</v>
      </c>
      <c r="M30" s="560" t="s">
        <v>123</v>
      </c>
      <c r="N30" s="559" t="s">
        <v>122</v>
      </c>
      <c r="O30" s="1026" t="s">
        <v>1010</v>
      </c>
      <c r="P30" s="1026" t="s">
        <v>1019</v>
      </c>
      <c r="Q30" s="1022"/>
    </row>
    <row r="31" spans="1:16" ht="12.75">
      <c r="A31" s="497" t="s">
        <v>101</v>
      </c>
      <c r="B31" s="1290">
        <f>F23</f>
        <v>3.531413333333333</v>
      </c>
      <c r="C31" s="1291"/>
      <c r="D31" s="1292">
        <f>G23</f>
        <v>340.4383333333334</v>
      </c>
      <c r="E31" s="1292"/>
      <c r="F31" s="290">
        <f>'Battery Calc'!M20</f>
        <v>1002.803560539781</v>
      </c>
      <c r="G31" s="556">
        <f>H23/2000</f>
        <v>0.4336319329140681</v>
      </c>
      <c r="H31" s="558">
        <f>G31*Conversions!$B$166</f>
        <v>0.08499185885115736</v>
      </c>
      <c r="I31" s="1027">
        <f>Conversions!E166*G31</f>
        <v>63.582394855435204</v>
      </c>
      <c r="J31" s="1073">
        <f>B31*Conversions!B93</f>
        <v>48.42980245333333</v>
      </c>
      <c r="K31" s="557">
        <f>I23+J23+Conversions!K226</f>
        <v>58.091200440917106</v>
      </c>
      <c r="L31" s="290">
        <f>'Battery Calc'!AC20</f>
        <v>35.10909621145841</v>
      </c>
      <c r="M31" s="556">
        <f>K23/2000</f>
        <v>0.01518186198386234</v>
      </c>
      <c r="N31" s="555">
        <f>M31*Conversions!$B$166</f>
        <v>0.002975644948837019</v>
      </c>
      <c r="O31" s="1027">
        <f>Conversions!E166*M31</f>
        <v>2.2260794697745365</v>
      </c>
      <c r="P31" s="1021">
        <f>(M31*B35)*(Conversions!B93)</f>
        <v>1.695572952414296</v>
      </c>
    </row>
    <row r="32" spans="1:16" ht="12.75">
      <c r="A32" s="554" t="s">
        <v>120</v>
      </c>
      <c r="B32" s="1293">
        <f>B31/'Basic School Info'!$B$9*'Basic School Info'!B6</f>
        <v>47.0855111111111</v>
      </c>
      <c r="C32" s="1294"/>
      <c r="D32" s="1295">
        <f>D31/'Basic School Info'!$B$9*'Basic School Info'!B6</f>
        <v>4539.177777777778</v>
      </c>
      <c r="E32" s="1295"/>
      <c r="F32" s="251">
        <f>F31/'Basic School Info'!$B$9*'Basic School Info'!B6</f>
        <v>13370.714140530414</v>
      </c>
      <c r="G32" s="551">
        <f>G31/'Basic School Info'!$B$9*'Basic School Info'!B6</f>
        <v>5.7817591055209085</v>
      </c>
      <c r="H32" s="553">
        <f>G32*Conversions!$B$166</f>
        <v>1.1332247846820982</v>
      </c>
      <c r="I32" s="1027">
        <f>Conversions!E166*G32</f>
        <v>847.7652647391361</v>
      </c>
      <c r="J32" s="1073">
        <f>B32*Conversions!B93</f>
        <v>645.7306993777777</v>
      </c>
      <c r="K32" s="552">
        <f>((I23+J23)/'Basic School Info'!$B$9*'Basic School Info'!B6)+(Conversions!K226*'Basic School Info'!B6/'Basic School Info'!B9)</f>
        <v>774.5493392122281</v>
      </c>
      <c r="L32" s="251">
        <f>L31/'Basic School Info'!$B$9*'Basic School Info'!B6</f>
        <v>468.12128281944547</v>
      </c>
      <c r="M32" s="551">
        <f>M31/'Basic School Info'!$B$9*'Basic School Info'!B6</f>
        <v>0.20242482645149787</v>
      </c>
      <c r="N32" s="550">
        <f>M32*Conversions!$B$166</f>
        <v>0.039675265984493585</v>
      </c>
      <c r="O32" s="1027">
        <f>Conversions!E166*M32</f>
        <v>29.681059596993823</v>
      </c>
      <c r="P32" s="1021">
        <f>(M32*B35)*(Conversions!B93)</f>
        <v>22.607639365523948</v>
      </c>
    </row>
    <row r="33" spans="1:16" ht="12.75">
      <c r="A33" s="549" t="s">
        <v>119</v>
      </c>
      <c r="B33" s="1284">
        <f>B31/'Basic School Info'!$B$9*'Basic School Info'!B7</f>
        <v>1294.8515555555555</v>
      </c>
      <c r="C33" s="1285"/>
      <c r="D33" s="1286">
        <f>D31/'Basic School Info'!$B$9*'Basic School Info'!B7</f>
        <v>124827.3888888889</v>
      </c>
      <c r="E33" s="1286"/>
      <c r="F33" s="248">
        <f>F31/'Basic School Info'!$B$9*'Basic School Info'!B7</f>
        <v>367694.63886458636</v>
      </c>
      <c r="G33" s="546">
        <f>G31/'Basic School Info'!$B$9*'Basic School Info'!B7</f>
        <v>158.99837540182497</v>
      </c>
      <c r="H33" s="548">
        <f>G33*Conversions!$B$166</f>
        <v>31.163681578757696</v>
      </c>
      <c r="I33" s="1027">
        <f>Conversions!E166*G33</f>
        <v>23313.544780326243</v>
      </c>
      <c r="J33" s="1021">
        <f>B33*Conversions!B93</f>
        <v>17757.59423288889</v>
      </c>
      <c r="K33" s="547">
        <f>(K31/'Basic School Info'!$B$9*'Basic School Info'!B7)+(Conversions!K226*'Basic School Info'!B7/'Basic School Info'!B9)</f>
        <v>32296.440161669605</v>
      </c>
      <c r="L33" s="248">
        <f>L31/'Basic School Info'!$B$9*'Basic School Info'!B7</f>
        <v>12873.33527753475</v>
      </c>
      <c r="M33" s="546">
        <f>M31/'Basic School Info'!$B$9*'Basic School Info'!B7</f>
        <v>5.566682727416191</v>
      </c>
      <c r="N33" s="545">
        <f>M33*Conversions!$B$166</f>
        <v>1.0910698145735735</v>
      </c>
      <c r="O33" s="1027">
        <f>Conversions!E166*M33</f>
        <v>816.2291389173301</v>
      </c>
      <c r="P33" s="1021">
        <f>(M33*B35)*(Conversions!B93)</f>
        <v>621.7100825519085</v>
      </c>
    </row>
    <row r="34" ht="25.5" customHeight="1">
      <c r="A34" s="184" t="s">
        <v>118</v>
      </c>
    </row>
    <row r="35" spans="1:2" ht="12.75">
      <c r="A35" s="169" t="s">
        <v>917</v>
      </c>
      <c r="B35" s="169">
        <f>B31/G31</f>
        <v>8.143803685309186</v>
      </c>
    </row>
    <row r="38" ht="18.75" customHeight="1">
      <c r="M38" s="1074"/>
    </row>
    <row r="39" ht="12.75">
      <c r="M39" s="1075"/>
    </row>
    <row r="40" ht="18.75" customHeight="1"/>
    <row r="42" ht="22.5" customHeight="1"/>
    <row r="44" ht="22.5" customHeight="1"/>
    <row r="49" ht="22.5" customHeight="1"/>
    <row r="50" ht="22.5" customHeight="1"/>
    <row r="54" ht="22.5" customHeight="1"/>
    <row r="55" ht="56.25" customHeight="1"/>
    <row r="56" ht="51" customHeight="1"/>
    <row r="57" ht="12.75" customHeight="1"/>
    <row r="58" ht="25.5" customHeight="1"/>
    <row r="59" ht="33.75" customHeight="1"/>
    <row r="62" ht="150.75" customHeight="1"/>
    <row r="64" ht="84.75" customHeight="1"/>
    <row r="66" ht="155.25" customHeight="1"/>
    <row r="68" ht="141" customHeight="1"/>
  </sheetData>
  <sheetProtection/>
  <mergeCells count="20">
    <mergeCell ref="H5:H6"/>
    <mergeCell ref="G5:G6"/>
    <mergeCell ref="B33:C33"/>
    <mergeCell ref="D33:E33"/>
    <mergeCell ref="B30:C30"/>
    <mergeCell ref="D30:E30"/>
    <mergeCell ref="B31:C31"/>
    <mergeCell ref="D31:E31"/>
    <mergeCell ref="B32:C32"/>
    <mergeCell ref="D32:E32"/>
    <mergeCell ref="S5:S6"/>
    <mergeCell ref="A4:H4"/>
    <mergeCell ref="I4:K4"/>
    <mergeCell ref="B5:E5"/>
    <mergeCell ref="F5:F6"/>
    <mergeCell ref="R5:R6"/>
    <mergeCell ref="A5:A6"/>
    <mergeCell ref="I5:I6"/>
    <mergeCell ref="J5:J6"/>
    <mergeCell ref="K5:K6"/>
  </mergeCells>
  <printOptions headings="1"/>
  <pageMargins left="0.75" right="0.75" top="1" bottom="1" header="0.5" footer="0.5"/>
  <pageSetup fitToHeight="1" fitToWidth="1" horizontalDpi="600" verticalDpi="600" orientation="landscape" scale="53" r:id="rId2"/>
  <drawing r:id="rId1"/>
</worksheet>
</file>

<file path=xl/worksheets/sheet13.xml><?xml version="1.0" encoding="utf-8"?>
<worksheet xmlns="http://schemas.openxmlformats.org/spreadsheetml/2006/main" xmlns:r="http://schemas.openxmlformats.org/officeDocument/2006/relationships">
  <sheetPr codeName="Sheet29">
    <tabColor rgb="FFEDAA03"/>
  </sheetPr>
  <dimension ref="A1:S35"/>
  <sheetViews>
    <sheetView zoomScalePageLayoutView="0" workbookViewId="0" topLeftCell="A1">
      <selection activeCell="A2" sqref="A2"/>
    </sheetView>
  </sheetViews>
  <sheetFormatPr defaultColWidth="10.8515625" defaultRowHeight="12.75"/>
  <cols>
    <col min="1" max="1" width="35.8515625" style="607" customWidth="1"/>
    <col min="2" max="4" width="10.28125" style="607" customWidth="1"/>
    <col min="5" max="16384" width="10.8515625" style="607" customWidth="1"/>
  </cols>
  <sheetData>
    <row r="1" ht="15.75">
      <c r="A1" s="342" t="s">
        <v>193</v>
      </c>
    </row>
    <row r="2" ht="12.75">
      <c r="A2" s="1151" t="s">
        <v>916</v>
      </c>
    </row>
    <row r="3" spans="1:5" ht="42" customHeight="1">
      <c r="A3" s="1296" t="s">
        <v>192</v>
      </c>
      <c r="B3" s="1297"/>
      <c r="C3" s="1297"/>
      <c r="D3" s="1297"/>
      <c r="E3" s="1297"/>
    </row>
    <row r="4" spans="1:5" ht="27.75" customHeight="1">
      <c r="A4" s="1296" t="s">
        <v>191</v>
      </c>
      <c r="B4" s="1297"/>
      <c r="C4" s="1297"/>
      <c r="D4" s="1297"/>
      <c r="E4" s="1297"/>
    </row>
    <row r="5" spans="1:5" ht="28.5" customHeight="1">
      <c r="A5" s="1300" t="s">
        <v>337</v>
      </c>
      <c r="B5" s="1301"/>
      <c r="C5" s="1301"/>
      <c r="D5" s="1301"/>
      <c r="E5" s="1301"/>
    </row>
    <row r="6" spans="1:5" s="1137" customFormat="1" ht="16.5" customHeight="1">
      <c r="A6" s="1302" t="s">
        <v>338</v>
      </c>
      <c r="B6" s="1302"/>
      <c r="C6" s="1302"/>
      <c r="D6" s="1302"/>
      <c r="E6" s="1302"/>
    </row>
    <row r="7" spans="1:6" ht="25.5" customHeight="1">
      <c r="A7" s="1298" t="s">
        <v>190</v>
      </c>
      <c r="B7" s="1299"/>
      <c r="C7" s="1299"/>
      <c r="D7" s="1299"/>
      <c r="E7" s="1299"/>
      <c r="F7" s="608"/>
    </row>
    <row r="8" spans="1:6" ht="25.5" customHeight="1">
      <c r="A8" s="1129"/>
      <c r="B8" s="1102"/>
      <c r="C8" s="1102"/>
      <c r="D8" s="1102"/>
      <c r="E8" s="1102"/>
      <c r="F8" s="608"/>
    </row>
    <row r="9" spans="1:6" ht="13.5" customHeight="1">
      <c r="A9" s="1127" t="s">
        <v>715</v>
      </c>
      <c r="B9" s="1102"/>
      <c r="C9" s="1102"/>
      <c r="D9" s="1102"/>
      <c r="E9" s="1102"/>
      <c r="F9" s="608"/>
    </row>
    <row r="10" spans="1:15" ht="12.75">
      <c r="A10" s="1111" t="s">
        <v>325</v>
      </c>
      <c r="B10" s="608"/>
      <c r="C10" s="608"/>
      <c r="D10" s="173"/>
      <c r="E10" s="173"/>
      <c r="F10" s="173"/>
      <c r="G10" s="169"/>
      <c r="H10" s="169"/>
      <c r="I10" s="169"/>
      <c r="J10" s="169"/>
      <c r="K10" s="169"/>
      <c r="L10" s="169"/>
      <c r="M10" s="169"/>
      <c r="N10" s="169"/>
      <c r="O10" s="169"/>
    </row>
    <row r="11" spans="1:15" ht="12.75">
      <c r="A11" s="1128"/>
      <c r="B11" s="608"/>
      <c r="C11" s="608"/>
      <c r="D11" s="173"/>
      <c r="E11" s="173"/>
      <c r="F11" s="173"/>
      <c r="G11" s="169"/>
      <c r="H11" s="169"/>
      <c r="I11" s="169"/>
      <c r="J11" s="169"/>
      <c r="K11" s="169"/>
      <c r="L11" s="169"/>
      <c r="M11" s="169"/>
      <c r="N11" s="169"/>
      <c r="O11" s="169"/>
    </row>
    <row r="12" spans="1:19" ht="25.5">
      <c r="A12" s="618" t="s">
        <v>189</v>
      </c>
      <c r="B12" s="617" t="s">
        <v>188</v>
      </c>
      <c r="C12" s="616" t="s">
        <v>187</v>
      </c>
      <c r="D12" s="173"/>
      <c r="E12" s="173"/>
      <c r="F12" s="173"/>
      <c r="G12" s="169"/>
      <c r="H12" s="169"/>
      <c r="I12" s="169"/>
      <c r="J12" s="169"/>
      <c r="K12" s="169"/>
      <c r="L12" s="169"/>
      <c r="M12" s="169"/>
      <c r="N12" s="169"/>
      <c r="O12" s="169"/>
      <c r="P12" s="615"/>
      <c r="Q12" s="615"/>
      <c r="R12" s="615"/>
      <c r="S12" s="615"/>
    </row>
    <row r="13" spans="1:15" ht="12.75">
      <c r="A13" s="614" t="s">
        <v>186</v>
      </c>
      <c r="B13" s="613">
        <v>75</v>
      </c>
      <c r="C13" s="450">
        <v>6</v>
      </c>
      <c r="D13" s="173"/>
      <c r="E13" s="173"/>
      <c r="F13" s="173"/>
      <c r="G13" s="169"/>
      <c r="H13" s="169"/>
      <c r="I13" s="169"/>
      <c r="J13" s="169"/>
      <c r="K13" s="169"/>
      <c r="L13" s="169"/>
      <c r="M13" s="169"/>
      <c r="N13" s="169"/>
      <c r="O13" s="169"/>
    </row>
    <row r="14" spans="1:15" ht="12.75">
      <c r="A14" s="612" t="s">
        <v>185</v>
      </c>
      <c r="B14" s="611">
        <v>75</v>
      </c>
      <c r="C14" s="445">
        <v>6</v>
      </c>
      <c r="D14" s="173"/>
      <c r="E14" s="173"/>
      <c r="F14" s="173"/>
      <c r="G14" s="169"/>
      <c r="H14" s="169"/>
      <c r="I14" s="169"/>
      <c r="J14" s="169"/>
      <c r="K14" s="169"/>
      <c r="L14" s="169"/>
      <c r="M14" s="169"/>
      <c r="N14" s="169"/>
      <c r="O14" s="169"/>
    </row>
    <row r="15" spans="1:15" ht="12.75">
      <c r="A15" s="612" t="s">
        <v>184</v>
      </c>
      <c r="B15" s="611">
        <v>150</v>
      </c>
      <c r="C15" s="445">
        <v>6</v>
      </c>
      <c r="D15" s="173"/>
      <c r="E15" s="173"/>
      <c r="F15" s="173"/>
      <c r="G15" s="169"/>
      <c r="H15" s="169"/>
      <c r="I15" s="169"/>
      <c r="J15" s="169"/>
      <c r="K15" s="169"/>
      <c r="L15" s="169"/>
      <c r="M15" s="169"/>
      <c r="N15" s="169"/>
      <c r="O15" s="169"/>
    </row>
    <row r="16" spans="1:15" ht="12.75">
      <c r="A16" s="612" t="s">
        <v>183</v>
      </c>
      <c r="B16" s="611">
        <v>100</v>
      </c>
      <c r="C16" s="445">
        <v>2</v>
      </c>
      <c r="D16" s="173"/>
      <c r="E16" s="173"/>
      <c r="F16" s="173"/>
      <c r="G16" s="169"/>
      <c r="H16" s="169"/>
      <c r="I16" s="169"/>
      <c r="J16" s="169"/>
      <c r="K16" s="169"/>
      <c r="L16" s="169"/>
      <c r="M16" s="169"/>
      <c r="N16" s="169"/>
      <c r="O16" s="169"/>
    </row>
    <row r="17" spans="1:15" ht="12.75">
      <c r="A17" s="612" t="s">
        <v>182</v>
      </c>
      <c r="B17" s="611">
        <v>60</v>
      </c>
      <c r="C17" s="445">
        <v>1.5</v>
      </c>
      <c r="D17" s="173"/>
      <c r="E17" s="173"/>
      <c r="F17" s="173"/>
      <c r="G17" s="169"/>
      <c r="H17" s="169"/>
      <c r="I17" s="169"/>
      <c r="J17" s="169"/>
      <c r="K17" s="169"/>
      <c r="L17" s="169"/>
      <c r="M17" s="169"/>
      <c r="N17" s="169"/>
      <c r="O17" s="169"/>
    </row>
    <row r="18" spans="1:15" ht="12.75">
      <c r="A18" s="612" t="s">
        <v>181</v>
      </c>
      <c r="B18" s="611">
        <v>75</v>
      </c>
      <c r="C18" s="445">
        <v>1.5</v>
      </c>
      <c r="D18" s="173"/>
      <c r="E18" s="173"/>
      <c r="F18" s="173"/>
      <c r="G18" s="169"/>
      <c r="H18" s="169"/>
      <c r="I18" s="169"/>
      <c r="J18" s="169"/>
      <c r="K18" s="169"/>
      <c r="L18" s="169"/>
      <c r="M18" s="169"/>
      <c r="N18" s="169"/>
      <c r="O18" s="169"/>
    </row>
    <row r="19" spans="1:15" ht="12.75">
      <c r="A19" s="612" t="s">
        <v>180</v>
      </c>
      <c r="B19" s="611">
        <v>150</v>
      </c>
      <c r="C19" s="445">
        <v>2</v>
      </c>
      <c r="D19" s="173"/>
      <c r="E19" s="173"/>
      <c r="F19" s="173"/>
      <c r="G19" s="169"/>
      <c r="H19" s="169"/>
      <c r="I19" s="169"/>
      <c r="J19" s="169"/>
      <c r="K19" s="169"/>
      <c r="L19" s="169"/>
      <c r="M19" s="169"/>
      <c r="N19" s="169"/>
      <c r="O19" s="169"/>
    </row>
    <row r="20" spans="1:15" ht="12.75">
      <c r="A20" s="612" t="s">
        <v>179</v>
      </c>
      <c r="B20" s="611">
        <v>100</v>
      </c>
      <c r="C20" s="445">
        <v>2</v>
      </c>
      <c r="D20" s="173"/>
      <c r="E20" s="173"/>
      <c r="F20" s="173"/>
      <c r="G20" s="169"/>
      <c r="H20" s="169"/>
      <c r="I20" s="169"/>
      <c r="J20" s="169"/>
      <c r="K20" s="169"/>
      <c r="L20" s="169"/>
      <c r="M20" s="169"/>
      <c r="N20" s="169"/>
      <c r="O20" s="169"/>
    </row>
    <row r="21" spans="1:15" ht="12.75">
      <c r="A21" s="612" t="s">
        <v>178</v>
      </c>
      <c r="B21" s="611">
        <v>100</v>
      </c>
      <c r="C21" s="445">
        <v>2</v>
      </c>
      <c r="D21" s="173"/>
      <c r="E21" s="173"/>
      <c r="F21" s="173"/>
      <c r="G21" s="169"/>
      <c r="H21" s="169"/>
      <c r="I21" s="169"/>
      <c r="J21" s="169"/>
      <c r="K21" s="169"/>
      <c r="L21" s="169"/>
      <c r="M21" s="169"/>
      <c r="N21" s="169"/>
      <c r="O21" s="169"/>
    </row>
    <row r="22" spans="1:15" ht="12.75">
      <c r="A22" s="612"/>
      <c r="B22" s="611"/>
      <c r="C22" s="445"/>
      <c r="D22" s="173"/>
      <c r="E22" s="173"/>
      <c r="F22" s="173"/>
      <c r="G22" s="169"/>
      <c r="H22" s="169"/>
      <c r="I22" s="169"/>
      <c r="J22" s="169"/>
      <c r="K22" s="169"/>
      <c r="L22" s="169"/>
      <c r="M22" s="169"/>
      <c r="N22" s="169"/>
      <c r="O22" s="169"/>
    </row>
    <row r="23" spans="1:15" ht="12.75">
      <c r="A23" s="612"/>
      <c r="B23" s="611"/>
      <c r="C23" s="445"/>
      <c r="D23" s="173"/>
      <c r="E23" s="173"/>
      <c r="F23" s="173"/>
      <c r="G23" s="169"/>
      <c r="H23" s="169"/>
      <c r="I23" s="169"/>
      <c r="J23" s="169"/>
      <c r="K23" s="169"/>
      <c r="L23" s="169"/>
      <c r="M23" s="169"/>
      <c r="N23" s="169"/>
      <c r="O23" s="169"/>
    </row>
    <row r="24" spans="1:15" ht="12.75">
      <c r="A24" s="612"/>
      <c r="B24" s="611"/>
      <c r="C24" s="445"/>
      <c r="D24" s="173"/>
      <c r="E24" s="173"/>
      <c r="F24" s="173"/>
      <c r="G24" s="169"/>
      <c r="H24" s="169"/>
      <c r="I24" s="169"/>
      <c r="J24" s="169"/>
      <c r="K24" s="169"/>
      <c r="L24" s="169"/>
      <c r="M24" s="169"/>
      <c r="N24" s="169"/>
      <c r="O24" s="169"/>
    </row>
    <row r="25" spans="1:15" ht="12.75">
      <c r="A25" s="612"/>
      <c r="B25" s="611"/>
      <c r="C25" s="445"/>
      <c r="D25" s="173"/>
      <c r="E25" s="173"/>
      <c r="F25" s="173"/>
      <c r="G25" s="169"/>
      <c r="H25" s="169"/>
      <c r="I25" s="169"/>
      <c r="J25" s="169"/>
      <c r="K25" s="169"/>
      <c r="L25" s="169"/>
      <c r="M25" s="169"/>
      <c r="N25" s="169"/>
      <c r="O25" s="169"/>
    </row>
    <row r="26" spans="1:15" ht="12.75">
      <c r="A26" s="612"/>
      <c r="B26" s="611"/>
      <c r="C26" s="445"/>
      <c r="D26" s="173"/>
      <c r="E26" s="173"/>
      <c r="F26" s="173"/>
      <c r="G26" s="169"/>
      <c r="H26" s="169"/>
      <c r="I26" s="169"/>
      <c r="J26" s="169"/>
      <c r="K26" s="169"/>
      <c r="L26" s="169"/>
      <c r="M26" s="169"/>
      <c r="N26" s="169"/>
      <c r="O26" s="169"/>
    </row>
    <row r="27" spans="1:15" ht="12.75">
      <c r="A27" s="612"/>
      <c r="B27" s="611"/>
      <c r="C27" s="445"/>
      <c r="D27" s="173"/>
      <c r="E27" s="173"/>
      <c r="F27" s="173"/>
      <c r="G27" s="169"/>
      <c r="H27" s="169"/>
      <c r="I27" s="169"/>
      <c r="J27" s="169"/>
      <c r="K27" s="169"/>
      <c r="L27" s="169"/>
      <c r="M27" s="169"/>
      <c r="N27" s="169"/>
      <c r="O27" s="169"/>
    </row>
    <row r="28" spans="1:15" ht="12.75">
      <c r="A28" s="612"/>
      <c r="B28" s="611"/>
      <c r="C28" s="445"/>
      <c r="D28" s="173"/>
      <c r="E28" s="173"/>
      <c r="F28" s="173"/>
      <c r="G28" s="169"/>
      <c r="H28" s="169"/>
      <c r="I28" s="169"/>
      <c r="J28" s="169"/>
      <c r="K28" s="169"/>
      <c r="L28" s="169"/>
      <c r="M28" s="169"/>
      <c r="N28" s="169"/>
      <c r="O28" s="169"/>
    </row>
    <row r="29" spans="1:15" ht="12.75">
      <c r="A29" s="612"/>
      <c r="B29" s="611"/>
      <c r="C29" s="445"/>
      <c r="D29" s="173"/>
      <c r="E29" s="173"/>
      <c r="F29" s="173"/>
      <c r="G29" s="169"/>
      <c r="H29" s="169"/>
      <c r="I29" s="169"/>
      <c r="J29" s="169"/>
      <c r="K29" s="169"/>
      <c r="L29" s="169"/>
      <c r="M29" s="169"/>
      <c r="N29" s="169"/>
      <c r="O29" s="169"/>
    </row>
    <row r="30" spans="1:15" ht="12.75">
      <c r="A30" s="612"/>
      <c r="B30" s="611"/>
      <c r="C30" s="445"/>
      <c r="D30" s="173"/>
      <c r="E30" s="173"/>
      <c r="F30" s="173"/>
      <c r="G30" s="169"/>
      <c r="H30" s="169"/>
      <c r="I30" s="169"/>
      <c r="J30" s="169"/>
      <c r="K30" s="169"/>
      <c r="L30" s="169"/>
      <c r="M30" s="169"/>
      <c r="N30" s="169"/>
      <c r="O30" s="169"/>
    </row>
    <row r="31" spans="1:15" ht="12.75">
      <c r="A31" s="612"/>
      <c r="B31" s="611"/>
      <c r="C31" s="445"/>
      <c r="D31" s="173"/>
      <c r="E31" s="173"/>
      <c r="F31" s="173"/>
      <c r="G31" s="169"/>
      <c r="H31" s="169"/>
      <c r="I31" s="169"/>
      <c r="J31" s="169"/>
      <c r="K31" s="169"/>
      <c r="L31" s="169"/>
      <c r="M31" s="169"/>
      <c r="N31" s="169"/>
      <c r="O31" s="169"/>
    </row>
    <row r="32" spans="1:15" ht="12.75">
      <c r="A32" s="610"/>
      <c r="B32" s="609"/>
      <c r="C32" s="440"/>
      <c r="D32" s="173"/>
      <c r="E32" s="173"/>
      <c r="F32" s="173"/>
      <c r="G32" s="169"/>
      <c r="H32" s="169"/>
      <c r="I32" s="169"/>
      <c r="J32" s="169"/>
      <c r="K32" s="169"/>
      <c r="L32" s="169"/>
      <c r="M32" s="169"/>
      <c r="N32" s="169"/>
      <c r="O32" s="169"/>
    </row>
    <row r="33" spans="1:15" ht="12.75">
      <c r="A33" s="173"/>
      <c r="B33" s="608"/>
      <c r="C33" s="608"/>
      <c r="D33" s="173"/>
      <c r="E33" s="173"/>
      <c r="F33" s="173"/>
      <c r="G33" s="169"/>
      <c r="H33" s="169"/>
      <c r="I33" s="169"/>
      <c r="J33" s="169"/>
      <c r="K33" s="169"/>
      <c r="L33" s="169"/>
      <c r="M33" s="169"/>
      <c r="N33" s="169"/>
      <c r="O33" s="169"/>
    </row>
    <row r="34" spans="1:15" ht="12.75">
      <c r="A34" s="169"/>
      <c r="D34" s="169"/>
      <c r="E34" s="169"/>
      <c r="F34" s="169"/>
      <c r="G34" s="169"/>
      <c r="H34" s="169"/>
      <c r="I34" s="169"/>
      <c r="J34" s="169"/>
      <c r="K34" s="169"/>
      <c r="L34" s="169"/>
      <c r="M34" s="169"/>
      <c r="N34" s="169"/>
      <c r="O34" s="169"/>
    </row>
    <row r="35" spans="4:15" ht="12.75">
      <c r="D35" s="169"/>
      <c r="E35" s="169"/>
      <c r="F35" s="169"/>
      <c r="G35" s="169"/>
      <c r="H35" s="169"/>
      <c r="I35" s="169"/>
      <c r="J35" s="169"/>
      <c r="K35" s="169"/>
      <c r="L35" s="169"/>
      <c r="M35" s="169"/>
      <c r="N35" s="169"/>
      <c r="O35" s="169"/>
    </row>
  </sheetData>
  <sheetProtection/>
  <mergeCells count="5">
    <mergeCell ref="A3:E3"/>
    <mergeCell ref="A7:E7"/>
    <mergeCell ref="A4:E4"/>
    <mergeCell ref="A5:E5"/>
    <mergeCell ref="A6:E6"/>
  </mergeCells>
  <dataValidations count="2">
    <dataValidation type="decimal" allowBlank="1" showInputMessage="1" showErrorMessage="1" sqref="C13:C32">
      <formula1>0</formula1>
      <formula2>24</formula2>
    </dataValidation>
    <dataValidation type="list" allowBlank="1" showInputMessage="1" showErrorMessage="1" sqref="B13:B32">
      <formula1>Light_watt_P</formula1>
    </dataValidation>
  </dataValidations>
  <hyperlinks>
    <hyperlink ref="A6:E6" location="'Mercury Facts (Product)'!A1" display="See the 'Mercury Facts' tab for more information about Mercury.  "/>
    <hyperlink ref="A2" location="'Table of Contents'!A1" display="Table of Contents"/>
  </hyperlinks>
  <printOptions headings="1"/>
  <pageMargins left="0.75" right="0.75" top="1" bottom="1" header="0.5" footer="0.5"/>
  <pageSetup orientation="portrait" r:id="rId1"/>
</worksheet>
</file>

<file path=xl/worksheets/sheet14.xml><?xml version="1.0" encoding="utf-8"?>
<worksheet xmlns="http://schemas.openxmlformats.org/spreadsheetml/2006/main" xmlns:r="http://schemas.openxmlformats.org/officeDocument/2006/relationships">
  <sheetPr codeName="Sheet31">
    <tabColor rgb="FFEDAA03"/>
    <pageSetUpPr fitToPage="1"/>
  </sheetPr>
  <dimension ref="A1:U35"/>
  <sheetViews>
    <sheetView zoomScalePageLayoutView="0" workbookViewId="0" topLeftCell="A1">
      <selection activeCell="A1" sqref="A1"/>
    </sheetView>
  </sheetViews>
  <sheetFormatPr defaultColWidth="10.8515625" defaultRowHeight="12.75"/>
  <cols>
    <col min="1" max="1" width="26.140625" style="607" customWidth="1"/>
    <col min="2" max="3" width="10.28125" style="607" hidden="1" customWidth="1"/>
    <col min="4" max="4" width="10.28125" style="607" customWidth="1"/>
    <col min="5" max="16384" width="10.8515625" style="607" customWidth="1"/>
  </cols>
  <sheetData>
    <row r="1" ht="15.75">
      <c r="A1" s="342" t="s">
        <v>239</v>
      </c>
    </row>
    <row r="3" spans="1:5" ht="12.75">
      <c r="A3" s="703"/>
      <c r="B3" s="703"/>
      <c r="C3" s="703"/>
      <c r="D3" s="703"/>
      <c r="E3" s="703"/>
    </row>
    <row r="4" spans="4:15" ht="12.75">
      <c r="D4" s="1303" t="s">
        <v>238</v>
      </c>
      <c r="E4" s="1304"/>
      <c r="F4" s="1305"/>
      <c r="G4" s="1305"/>
      <c r="I4" s="702" t="s">
        <v>237</v>
      </c>
      <c r="J4" s="701"/>
      <c r="K4" s="701"/>
      <c r="L4" s="701"/>
      <c r="M4" s="701"/>
      <c r="N4" s="701"/>
      <c r="O4" s="701"/>
    </row>
    <row r="5" spans="1:21" ht="76.5">
      <c r="A5" s="618" t="s">
        <v>189</v>
      </c>
      <c r="B5" s="640" t="s">
        <v>188</v>
      </c>
      <c r="C5" s="700" t="s">
        <v>187</v>
      </c>
      <c r="D5" s="699" t="s">
        <v>233</v>
      </c>
      <c r="E5" s="698" t="s">
        <v>232</v>
      </c>
      <c r="F5" s="697" t="s">
        <v>230</v>
      </c>
      <c r="G5" s="696" t="s">
        <v>236</v>
      </c>
      <c r="H5" s="695" t="s">
        <v>235</v>
      </c>
      <c r="I5" s="694" t="s">
        <v>234</v>
      </c>
      <c r="J5" s="693" t="s">
        <v>233</v>
      </c>
      <c r="K5" s="692" t="s">
        <v>232</v>
      </c>
      <c r="L5" s="691" t="s">
        <v>231</v>
      </c>
      <c r="M5" s="690" t="s">
        <v>230</v>
      </c>
      <c r="N5" s="689" t="s">
        <v>229</v>
      </c>
      <c r="O5" s="688" t="s">
        <v>228</v>
      </c>
      <c r="P5" s="687" t="s">
        <v>227</v>
      </c>
      <c r="Q5" s="615"/>
      <c r="R5" s="615"/>
      <c r="S5" s="615"/>
      <c r="T5" s="615"/>
      <c r="U5" s="615"/>
    </row>
    <row r="6" spans="1:16" ht="12.75">
      <c r="A6" s="663" t="str">
        <f>'Home Lighting Log'!A13</f>
        <v>living room table lamp</v>
      </c>
      <c r="B6" s="663">
        <f>'Home Lighting Log'!B13</f>
        <v>75</v>
      </c>
      <c r="C6" s="663">
        <f>'Home Lighting Log'!C13</f>
        <v>6</v>
      </c>
      <c r="D6" s="686">
        <f>B6*C6/1000</f>
        <v>0.45</v>
      </c>
      <c r="E6" s="685">
        <f>D6*Conversions!$C$261</f>
        <v>0.0054</v>
      </c>
      <c r="F6" s="684">
        <f>E6*Conversions!$B$266</f>
        <v>6.48</v>
      </c>
      <c r="G6" s="683">
        <f>D6*Conversions!$B$257</f>
        <v>0.0585</v>
      </c>
      <c r="H6" s="682">
        <f>C6*365/Conversions!$B$251*Conversions!$C$251</f>
        <v>1.2514285714285713</v>
      </c>
      <c r="I6" s="681">
        <f>VLOOKUP(B6,Conversions!$A$239:$B$247,2,FALSE)</f>
        <v>25</v>
      </c>
      <c r="J6" s="680">
        <f aca="true" t="shared" si="0" ref="J6:J25">I6*C6/1000</f>
        <v>0.15</v>
      </c>
      <c r="K6" s="679">
        <f>J6*Conversions!$C$261</f>
        <v>0.0018</v>
      </c>
      <c r="L6" s="678">
        <f>C6*365/Conversions!$B$252*Conversions!$C$260*Conversions!$C$262</f>
        <v>0.14600000000000002</v>
      </c>
      <c r="M6" s="677"/>
      <c r="N6" s="676">
        <f>J6*Conversions!$B$257</f>
        <v>0.0195</v>
      </c>
      <c r="O6" s="651">
        <f>IF(I6="",0,C6*365/Conversions!$B$252*VLOOKUP(I6,Conversions!$B$239:$D$243,3,FALSE))</f>
        <v>1.1471428571428572</v>
      </c>
      <c r="P6" s="650">
        <f>IF(O6&gt;0,VLOOKUP(I6,Conversions!$B$239:$D$243,3,FALSE),0)</f>
        <v>5.5</v>
      </c>
    </row>
    <row r="7" spans="1:16" ht="12.75">
      <c r="A7" s="663" t="str">
        <f>'Home Lighting Log'!A14</f>
        <v>living room table lamp #2</v>
      </c>
      <c r="B7" s="663">
        <f>'Home Lighting Log'!B14</f>
        <v>75</v>
      </c>
      <c r="C7" s="663">
        <f>'Home Lighting Log'!C14</f>
        <v>6</v>
      </c>
      <c r="D7" s="674">
        <f aca="true" t="shared" si="1" ref="D7:D14">B7*C7/1000</f>
        <v>0.45</v>
      </c>
      <c r="E7" s="673">
        <f>D7*Conversions!$C$261</f>
        <v>0.0054</v>
      </c>
      <c r="F7" s="672">
        <f>E7*Conversions!$B$266</f>
        <v>6.48</v>
      </c>
      <c r="G7" s="671">
        <f>D7*Conversions!$B$257</f>
        <v>0.0585</v>
      </c>
      <c r="H7" s="670">
        <f>C7*365/Conversions!$B$251*Conversions!$C$251</f>
        <v>1.2514285714285713</v>
      </c>
      <c r="I7" s="675">
        <f>VLOOKUP(B7,Conversions!$A$239:$B$247,2,FALSE)</f>
        <v>25</v>
      </c>
      <c r="J7" s="668">
        <f t="shared" si="0"/>
        <v>0.15</v>
      </c>
      <c r="K7" s="667">
        <f>J7*Conversions!$C$261</f>
        <v>0.0018</v>
      </c>
      <c r="L7" s="666">
        <f>C7*365/Conversions!$B$252*Conversions!$C$260*Conversions!$C$262</f>
        <v>0.14600000000000002</v>
      </c>
      <c r="M7" s="665"/>
      <c r="N7" s="664">
        <f>J7*Conversions!$B$257</f>
        <v>0.0195</v>
      </c>
      <c r="O7" s="651">
        <f>IF(I7="",0,C7*365/Conversions!$B$252*VLOOKUP(I7,Conversions!$B$239:$D$243,3,FALSE))</f>
        <v>1.1471428571428572</v>
      </c>
      <c r="P7" s="650">
        <f>IF(O7&gt;0,VLOOKUP(I7,Conversions!$B$239:$D$243,3,FALSE),0)</f>
        <v>5.5</v>
      </c>
    </row>
    <row r="8" spans="1:16" ht="12.75">
      <c r="A8" s="663" t="str">
        <f>'Home Lighting Log'!A15</f>
        <v>Kitchen lamp</v>
      </c>
      <c r="B8" s="663">
        <f>'Home Lighting Log'!B15</f>
        <v>150</v>
      </c>
      <c r="C8" s="663">
        <f>'Home Lighting Log'!C15</f>
        <v>6</v>
      </c>
      <c r="D8" s="674">
        <f t="shared" si="1"/>
        <v>0.9</v>
      </c>
      <c r="E8" s="673">
        <f>D8*Conversions!$C$261</f>
        <v>0.0108</v>
      </c>
      <c r="F8" s="672">
        <f>E8*Conversions!$B$266</f>
        <v>12.96</v>
      </c>
      <c r="G8" s="671">
        <f>D8*Conversions!$B$257</f>
        <v>0.117</v>
      </c>
      <c r="H8" s="670">
        <f>C8*365/Conversions!$B$251*Conversions!$C$251</f>
        <v>1.2514285714285713</v>
      </c>
      <c r="I8" s="675">
        <f>VLOOKUP(B8,Conversions!$A$239:$B$247,2,FALSE)</f>
        <v>52</v>
      </c>
      <c r="J8" s="668">
        <f t="shared" si="0"/>
        <v>0.312</v>
      </c>
      <c r="K8" s="667">
        <f>J8*Conversions!$C$261</f>
        <v>0.003744</v>
      </c>
      <c r="L8" s="666">
        <f>C8*365/Conversions!$B$252*Conversions!$C$260*Conversions!$C$262</f>
        <v>0.14600000000000002</v>
      </c>
      <c r="M8" s="665"/>
      <c r="N8" s="664">
        <f>J8*Conversions!$B$257</f>
        <v>0.04056</v>
      </c>
      <c r="O8" s="651">
        <f>IF(I8="",0,C8*365/Conversions!$B$252*VLOOKUP(I8,Conversions!$B$239:$D$243,3,FALSE))</f>
        <v>1.9814285714285715</v>
      </c>
      <c r="P8" s="650">
        <f>IF(O8&gt;0,VLOOKUP(I8,Conversions!$B$239:$D$243,3,FALSE),0)</f>
        <v>9.5</v>
      </c>
    </row>
    <row r="9" spans="1:16" ht="12.75">
      <c r="A9" s="663" t="str">
        <f>'Home Lighting Log'!A16</f>
        <v>parent bedroom lamp</v>
      </c>
      <c r="B9" s="663">
        <f>'Home Lighting Log'!B16</f>
        <v>100</v>
      </c>
      <c r="C9" s="663">
        <f>'Home Lighting Log'!C16</f>
        <v>2</v>
      </c>
      <c r="D9" s="674">
        <f t="shared" si="1"/>
        <v>0.2</v>
      </c>
      <c r="E9" s="673">
        <f>D9*Conversions!$C$261</f>
        <v>0.0024000000000000002</v>
      </c>
      <c r="F9" s="672">
        <f>E9*Conversions!$B$266</f>
        <v>2.8800000000000003</v>
      </c>
      <c r="G9" s="671">
        <f>D9*Conversions!$B$257</f>
        <v>0.026000000000000002</v>
      </c>
      <c r="H9" s="670">
        <f>C9*365/Conversions!$B$251*Conversions!$C$251</f>
        <v>0.41714285714285715</v>
      </c>
      <c r="I9" s="675">
        <f>VLOOKUP(B9,Conversions!$A$239:$B$247,2,FALSE)</f>
        <v>30</v>
      </c>
      <c r="J9" s="668">
        <f t="shared" si="0"/>
        <v>0.06</v>
      </c>
      <c r="K9" s="667">
        <f>J9*Conversions!$C$261</f>
        <v>0.0007199999999999999</v>
      </c>
      <c r="L9" s="666">
        <f>C9*365/Conversions!$B$252*Conversions!$C$260*Conversions!$C$262</f>
        <v>0.04866666666666668</v>
      </c>
      <c r="M9" s="665"/>
      <c r="N9" s="664">
        <f>J9*Conversions!$B$257</f>
        <v>0.0078</v>
      </c>
      <c r="O9" s="651">
        <f>IF(I9="",0,C9*365/Conversions!$B$252*VLOOKUP(I9,Conversions!$B$239:$D$243,3,FALSE))</f>
        <v>0.38238095238095243</v>
      </c>
      <c r="P9" s="650">
        <f>IF(O9&gt;0,VLOOKUP(I9,Conversions!$B$239:$D$243,3,FALSE),0)</f>
        <v>5.5</v>
      </c>
    </row>
    <row r="10" spans="1:16" ht="12.75">
      <c r="A10" s="663" t="str">
        <f>'Home Lighting Log'!A17</f>
        <v>suzie bedroom lamp</v>
      </c>
      <c r="B10" s="663">
        <f>'Home Lighting Log'!B17</f>
        <v>60</v>
      </c>
      <c r="C10" s="663">
        <f>'Home Lighting Log'!C17</f>
        <v>1.5</v>
      </c>
      <c r="D10" s="674">
        <f t="shared" si="1"/>
        <v>0.09</v>
      </c>
      <c r="E10" s="673">
        <f>D10*Conversions!$C$261</f>
        <v>0.00108</v>
      </c>
      <c r="F10" s="672">
        <f>E10*Conversions!$B$266</f>
        <v>1.296</v>
      </c>
      <c r="G10" s="671">
        <f>D10*Conversions!$B$257</f>
        <v>0.0117</v>
      </c>
      <c r="H10" s="670">
        <f>C10*365/Conversions!$B$251*Conversions!$C$251</f>
        <v>0.31285714285714283</v>
      </c>
      <c r="I10" s="675">
        <f>VLOOKUP(B10,Conversions!$A$239:$B$247,2,FALSE)</f>
        <v>15</v>
      </c>
      <c r="J10" s="668">
        <f t="shared" si="0"/>
        <v>0.0225</v>
      </c>
      <c r="K10" s="667">
        <f>J10*Conversions!$C$261</f>
        <v>0.00027</v>
      </c>
      <c r="L10" s="666">
        <f>C10*365/Conversions!$B$252*Conversions!$C$260*Conversions!$C$262</f>
        <v>0.036500000000000005</v>
      </c>
      <c r="M10" s="665"/>
      <c r="N10" s="664">
        <f>J10*Conversions!$B$257</f>
        <v>0.002925</v>
      </c>
      <c r="O10" s="651">
        <f>IF(I10="",0,C10*365/Conversions!$B$252*VLOOKUP(I10,Conversions!$B$239:$D$243,3,FALSE))</f>
        <v>0.2867857142857143</v>
      </c>
      <c r="P10" s="650">
        <f>IF(O10&gt;0,VLOOKUP(I10,Conversions!$B$239:$D$243,3,FALSE),0)</f>
        <v>5.5</v>
      </c>
    </row>
    <row r="11" spans="1:16" ht="12.75">
      <c r="A11" s="663" t="str">
        <f>'Home Lighting Log'!A18</f>
        <v>Bobby bedroom lamp</v>
      </c>
      <c r="B11" s="663">
        <f>'Home Lighting Log'!B18</f>
        <v>75</v>
      </c>
      <c r="C11" s="663">
        <f>'Home Lighting Log'!C18</f>
        <v>1.5</v>
      </c>
      <c r="D11" s="674">
        <f t="shared" si="1"/>
        <v>0.1125</v>
      </c>
      <c r="E11" s="673">
        <f>D11*Conversions!$C$261</f>
        <v>0.00135</v>
      </c>
      <c r="F11" s="672">
        <f>E11*Conversions!$B$266</f>
        <v>1.62</v>
      </c>
      <c r="G11" s="671">
        <f>D11*Conversions!$B$257</f>
        <v>0.014625</v>
      </c>
      <c r="H11" s="670">
        <f>C11*365/Conversions!$B$251*Conversions!$C$251</f>
        <v>0.31285714285714283</v>
      </c>
      <c r="I11" s="675">
        <f>VLOOKUP(B11,Conversions!$A$239:$B$247,2,FALSE)</f>
        <v>25</v>
      </c>
      <c r="J11" s="668">
        <f t="shared" si="0"/>
        <v>0.0375</v>
      </c>
      <c r="K11" s="667">
        <f>J11*Conversions!$C$261</f>
        <v>0.00045</v>
      </c>
      <c r="L11" s="666">
        <f>C11*365/Conversions!$B$252*Conversions!$C$260*Conversions!$C$262</f>
        <v>0.036500000000000005</v>
      </c>
      <c r="M11" s="665"/>
      <c r="N11" s="664">
        <f>J11*Conversions!$B$257</f>
        <v>0.004875</v>
      </c>
      <c r="O11" s="651">
        <f>IF(I11="",0,C11*365/Conversions!$B$252*VLOOKUP(I11,Conversions!$B$239:$D$243,3,FALSE))</f>
        <v>0.2867857142857143</v>
      </c>
      <c r="P11" s="650">
        <f>IF(O11&gt;0,VLOOKUP(I11,Conversions!$B$239:$D$243,3,FALSE),0)</f>
        <v>5.5</v>
      </c>
    </row>
    <row r="12" spans="1:16" ht="12.75">
      <c r="A12" s="663" t="str">
        <f>'Home Lighting Log'!A19</f>
        <v>bathroom lamp</v>
      </c>
      <c r="B12" s="663">
        <f>'Home Lighting Log'!B19</f>
        <v>150</v>
      </c>
      <c r="C12" s="663">
        <f>'Home Lighting Log'!C19</f>
        <v>2</v>
      </c>
      <c r="D12" s="674">
        <f t="shared" si="1"/>
        <v>0.3</v>
      </c>
      <c r="E12" s="673">
        <f>D12*Conversions!$C$261</f>
        <v>0.0036</v>
      </c>
      <c r="F12" s="672">
        <f>E12*Conversions!$B$266</f>
        <v>4.32</v>
      </c>
      <c r="G12" s="671">
        <f>D12*Conversions!$B$257</f>
        <v>0.039</v>
      </c>
      <c r="H12" s="670">
        <f>C12*365/Conversions!$B$251*Conversions!$C$251</f>
        <v>0.41714285714285715</v>
      </c>
      <c r="I12" s="675">
        <f>VLOOKUP(B12,Conversions!$A$239:$B$247,2,FALSE)</f>
        <v>52</v>
      </c>
      <c r="J12" s="668">
        <f t="shared" si="0"/>
        <v>0.104</v>
      </c>
      <c r="K12" s="667">
        <f>J12*Conversions!$C$261</f>
        <v>0.001248</v>
      </c>
      <c r="L12" s="666">
        <f>C12*365/Conversions!$B$252*Conversions!$C$260*Conversions!$C$262</f>
        <v>0.04866666666666668</v>
      </c>
      <c r="M12" s="665"/>
      <c r="N12" s="664">
        <f>J12*Conversions!$B$257</f>
        <v>0.013519999999999999</v>
      </c>
      <c r="O12" s="651">
        <f>IF(I12="",0,C12*365/Conversions!$B$252*VLOOKUP(I12,Conversions!$B$239:$D$243,3,FALSE))</f>
        <v>0.6604761904761905</v>
      </c>
      <c r="P12" s="650">
        <f>IF(O12&gt;0,VLOOKUP(I12,Conversions!$B$239:$D$243,3,FALSE),0)</f>
        <v>9.5</v>
      </c>
    </row>
    <row r="13" spans="1:16" ht="12.75">
      <c r="A13" s="663" t="str">
        <f>'Home Lighting Log'!A20</f>
        <v>Garage studio</v>
      </c>
      <c r="B13" s="663">
        <f>'Home Lighting Log'!B20</f>
        <v>100</v>
      </c>
      <c r="C13" s="663">
        <f>'Home Lighting Log'!C20</f>
        <v>2</v>
      </c>
      <c r="D13" s="674">
        <f t="shared" si="1"/>
        <v>0.2</v>
      </c>
      <c r="E13" s="673">
        <f>D13*Conversions!$C$261</f>
        <v>0.0024000000000000002</v>
      </c>
      <c r="F13" s="672">
        <f>E13*Conversions!$B$266</f>
        <v>2.8800000000000003</v>
      </c>
      <c r="G13" s="671">
        <f>D13*Conversions!$B$257</f>
        <v>0.026000000000000002</v>
      </c>
      <c r="H13" s="670">
        <f>C13*365/Conversions!$B$251*Conversions!$C$251</f>
        <v>0.41714285714285715</v>
      </c>
      <c r="I13" s="675">
        <f>VLOOKUP(B13,Conversions!$A$239:$B$247,2,FALSE)</f>
        <v>30</v>
      </c>
      <c r="J13" s="668">
        <f t="shared" si="0"/>
        <v>0.06</v>
      </c>
      <c r="K13" s="667">
        <f>J13*Conversions!$C$261</f>
        <v>0.0007199999999999999</v>
      </c>
      <c r="L13" s="666">
        <f>C13*365/Conversions!$B$252*Conversions!$C$260*Conversions!$C$262</f>
        <v>0.04866666666666668</v>
      </c>
      <c r="M13" s="665"/>
      <c r="N13" s="664">
        <f>J13*Conversions!$B$257</f>
        <v>0.0078</v>
      </c>
      <c r="O13" s="651">
        <f>IF(I13="",0,C13*365/Conversions!$B$252*VLOOKUP(I13,Conversions!$B$239:$D$243,3,FALSE))</f>
        <v>0.38238095238095243</v>
      </c>
      <c r="P13" s="650">
        <f>IF(O13&gt;0,VLOOKUP(I13,Conversions!$B$239:$D$243,3,FALSE),0)</f>
        <v>5.5</v>
      </c>
    </row>
    <row r="14" spans="1:16" ht="12.75">
      <c r="A14" s="663" t="str">
        <f>'Home Lighting Log'!A21</f>
        <v>Garage studio lamp #2</v>
      </c>
      <c r="B14" s="663">
        <f>'Home Lighting Log'!B21</f>
        <v>100</v>
      </c>
      <c r="C14" s="663">
        <f>'Home Lighting Log'!C21</f>
        <v>2</v>
      </c>
      <c r="D14" s="674">
        <f t="shared" si="1"/>
        <v>0.2</v>
      </c>
      <c r="E14" s="673">
        <f>D14*Conversions!$C$261</f>
        <v>0.0024000000000000002</v>
      </c>
      <c r="F14" s="672">
        <f>E14*Conversions!$B$266</f>
        <v>2.8800000000000003</v>
      </c>
      <c r="G14" s="671">
        <f>D14*Conversions!$B$257</f>
        <v>0.026000000000000002</v>
      </c>
      <c r="H14" s="670">
        <f>C14*365/Conversions!$B$251*Conversions!$C$251</f>
        <v>0.41714285714285715</v>
      </c>
      <c r="I14" s="675">
        <f>VLOOKUP(B14,Conversions!$A$239:$B$247,2,FALSE)</f>
        <v>30</v>
      </c>
      <c r="J14" s="668">
        <f t="shared" si="0"/>
        <v>0.06</v>
      </c>
      <c r="K14" s="667">
        <f>J14*Conversions!$C$261</f>
        <v>0.0007199999999999999</v>
      </c>
      <c r="L14" s="666">
        <f>C14*365/Conversions!$B$252*Conversions!$C$260*Conversions!$C$262</f>
        <v>0.04866666666666668</v>
      </c>
      <c r="M14" s="665"/>
      <c r="N14" s="664">
        <f>J14*Conversions!$B$257</f>
        <v>0.0078</v>
      </c>
      <c r="O14" s="651">
        <f>IF(I14="",0,C14*365/Conversions!$B$252*VLOOKUP(I14,Conversions!$B$239:$D$243,3,FALSE))</f>
        <v>0.38238095238095243</v>
      </c>
      <c r="P14" s="650">
        <f>IF(O14&gt;0,VLOOKUP(I14,Conversions!$B$239:$D$243,3,FALSE),0)</f>
        <v>5.5</v>
      </c>
    </row>
    <row r="15" spans="1:16" ht="12.75">
      <c r="A15" s="663">
        <f>'Home Lighting Log'!A22</f>
        <v>0</v>
      </c>
      <c r="B15" s="663">
        <f>'Home Lighting Log'!B22</f>
        <v>0</v>
      </c>
      <c r="C15" s="663">
        <f>'Home Lighting Log'!C22</f>
        <v>0</v>
      </c>
      <c r="D15" s="674"/>
      <c r="E15" s="673">
        <f>D15*Conversions!$C$261</f>
        <v>0</v>
      </c>
      <c r="F15" s="672">
        <f>E15*Conversions!$B$266</f>
        <v>0</v>
      </c>
      <c r="G15" s="671">
        <f>D15*Conversions!$B$257</f>
        <v>0</v>
      </c>
      <c r="H15" s="670">
        <f>C15*365/Conversions!$B$251*Conversions!$C$251</f>
        <v>0</v>
      </c>
      <c r="I15" s="669"/>
      <c r="J15" s="668">
        <f t="shared" si="0"/>
        <v>0</v>
      </c>
      <c r="K15" s="667">
        <f>J15*Conversions!$C$261</f>
        <v>0</v>
      </c>
      <c r="L15" s="666">
        <f>C15*365/Conversions!$B$252*Conversions!$C$260*Conversions!$C$262</f>
        <v>0</v>
      </c>
      <c r="M15" s="665"/>
      <c r="N15" s="664">
        <f>J15*Conversions!$B$257</f>
        <v>0</v>
      </c>
      <c r="O15" s="651">
        <f>IF(I15="",0,C15*365/Conversions!$B$252*VLOOKUP(I15,Conversions!$B$239:$D$243,3,FALSE))</f>
        <v>0</v>
      </c>
      <c r="P15" s="650">
        <f>IF(O15&gt;0,VLOOKUP(I15,Conversions!$B$239:$D$243,3,FALSE),0)</f>
        <v>0</v>
      </c>
    </row>
    <row r="16" spans="1:16" ht="12.75">
      <c r="A16" s="663">
        <f>'Home Lighting Log'!A23</f>
        <v>0</v>
      </c>
      <c r="B16" s="663">
        <f>'Home Lighting Log'!B23</f>
        <v>0</v>
      </c>
      <c r="C16" s="663">
        <f>'Home Lighting Log'!C23</f>
        <v>0</v>
      </c>
      <c r="D16" s="674"/>
      <c r="E16" s="673">
        <f>D16*Conversions!$C$261</f>
        <v>0</v>
      </c>
      <c r="F16" s="672">
        <f>E16*Conversions!$B$266</f>
        <v>0</v>
      </c>
      <c r="G16" s="671">
        <f>D16*Conversions!$B$257</f>
        <v>0</v>
      </c>
      <c r="H16" s="670">
        <f>C16*365/Conversions!$B$251*Conversions!$C$251</f>
        <v>0</v>
      </c>
      <c r="I16" s="669"/>
      <c r="J16" s="668">
        <f t="shared" si="0"/>
        <v>0</v>
      </c>
      <c r="K16" s="667">
        <f>J16*Conversions!$C$261</f>
        <v>0</v>
      </c>
      <c r="L16" s="666">
        <f>C16*365/Conversions!$B$252*Conversions!$C$260*Conversions!$C$262</f>
        <v>0</v>
      </c>
      <c r="M16" s="665"/>
      <c r="N16" s="664">
        <f>J16*Conversions!$B$257</f>
        <v>0</v>
      </c>
      <c r="O16" s="651">
        <f>IF(I16="",0,C16*365/Conversions!$B$252*VLOOKUP(I16,Conversions!$B$239:$D$243,3,FALSE))</f>
        <v>0</v>
      </c>
      <c r="P16" s="650">
        <f>IF(O16&gt;0,VLOOKUP(I16,Conversions!$B$239:$D$243,3,FALSE),0)</f>
        <v>0</v>
      </c>
    </row>
    <row r="17" spans="1:16" ht="12.75">
      <c r="A17" s="663">
        <f>'Home Lighting Log'!A24</f>
        <v>0</v>
      </c>
      <c r="B17" s="663">
        <f>'Home Lighting Log'!B24</f>
        <v>0</v>
      </c>
      <c r="C17" s="663">
        <f>'Home Lighting Log'!C24</f>
        <v>0</v>
      </c>
      <c r="D17" s="674"/>
      <c r="E17" s="673">
        <f>D17*Conversions!$C$261</f>
        <v>0</v>
      </c>
      <c r="F17" s="672">
        <f>E17*Conversions!$B$266</f>
        <v>0</v>
      </c>
      <c r="G17" s="671">
        <f>D17*Conversions!$B$257</f>
        <v>0</v>
      </c>
      <c r="H17" s="670">
        <f>C17*365/Conversions!$B$251*Conversions!$C$251</f>
        <v>0</v>
      </c>
      <c r="I17" s="669"/>
      <c r="J17" s="668">
        <f t="shared" si="0"/>
        <v>0</v>
      </c>
      <c r="K17" s="667">
        <f>J17*Conversions!$C$261</f>
        <v>0</v>
      </c>
      <c r="L17" s="666">
        <f>C17*365/Conversions!$B$252*Conversions!$C$260*Conversions!$C$262</f>
        <v>0</v>
      </c>
      <c r="M17" s="665"/>
      <c r="N17" s="664">
        <f>J17*Conversions!$B$257</f>
        <v>0</v>
      </c>
      <c r="O17" s="651">
        <f>IF(I17="",0,C17*365/Conversions!$B$252*VLOOKUP(I17,Conversions!$B$239:$D$243,3,FALSE))</f>
        <v>0</v>
      </c>
      <c r="P17" s="650">
        <f>IF(O17&gt;0,VLOOKUP(I17,Conversions!$B$239:$D$243,3,FALSE),0)</f>
        <v>0</v>
      </c>
    </row>
    <row r="18" spans="1:16" ht="12.75">
      <c r="A18" s="663">
        <f>'Home Lighting Log'!A25</f>
        <v>0</v>
      </c>
      <c r="B18" s="663">
        <f>'Home Lighting Log'!B25</f>
        <v>0</v>
      </c>
      <c r="C18" s="663">
        <f>'Home Lighting Log'!C25</f>
        <v>0</v>
      </c>
      <c r="D18" s="674"/>
      <c r="E18" s="673">
        <f>D18*Conversions!$C$261</f>
        <v>0</v>
      </c>
      <c r="F18" s="672">
        <f>E18*Conversions!$B$266</f>
        <v>0</v>
      </c>
      <c r="G18" s="671">
        <f>D18*Conversions!$B$257</f>
        <v>0</v>
      </c>
      <c r="H18" s="670">
        <f>C18*365/Conversions!$B$251*Conversions!$C$251</f>
        <v>0</v>
      </c>
      <c r="I18" s="669"/>
      <c r="J18" s="668">
        <f t="shared" si="0"/>
        <v>0</v>
      </c>
      <c r="K18" s="667">
        <f>J18*Conversions!$C$261</f>
        <v>0</v>
      </c>
      <c r="L18" s="666">
        <f>C18*365/Conversions!$B$252*Conversions!$C$260*Conversions!$C$262</f>
        <v>0</v>
      </c>
      <c r="M18" s="665"/>
      <c r="N18" s="664">
        <f>J18*Conversions!$B$257</f>
        <v>0</v>
      </c>
      <c r="O18" s="651">
        <f>IF(I18="",0,C18*365/Conversions!$B$252*VLOOKUP(I18,Conversions!$B$239:$D$243,3,FALSE))</f>
        <v>0</v>
      </c>
      <c r="P18" s="650">
        <f>IF(O18&gt;0,VLOOKUP(I18,Conversions!$B$239:$D$243,3,FALSE),0)</f>
        <v>0</v>
      </c>
    </row>
    <row r="19" spans="1:16" ht="12.75">
      <c r="A19" s="663">
        <f>'Home Lighting Log'!A26</f>
        <v>0</v>
      </c>
      <c r="B19" s="663">
        <f>'Home Lighting Log'!B26</f>
        <v>0</v>
      </c>
      <c r="C19" s="663">
        <f>'Home Lighting Log'!C26</f>
        <v>0</v>
      </c>
      <c r="D19" s="674"/>
      <c r="E19" s="673">
        <f>D19*Conversions!$C$261</f>
        <v>0</v>
      </c>
      <c r="F19" s="672">
        <f>E19*Conversions!$B$266</f>
        <v>0</v>
      </c>
      <c r="G19" s="671">
        <f>D19*Conversions!$B$257</f>
        <v>0</v>
      </c>
      <c r="H19" s="670">
        <f>C19*365/Conversions!$B$251*Conversions!$C$251</f>
        <v>0</v>
      </c>
      <c r="I19" s="669"/>
      <c r="J19" s="668">
        <f t="shared" si="0"/>
        <v>0</v>
      </c>
      <c r="K19" s="667">
        <f>J19*Conversions!$C$261</f>
        <v>0</v>
      </c>
      <c r="L19" s="666">
        <f>C19*365/Conversions!$B$252*Conversions!$C$260*Conversions!$C$262</f>
        <v>0</v>
      </c>
      <c r="M19" s="665"/>
      <c r="N19" s="664">
        <f>J19*Conversions!$B$257</f>
        <v>0</v>
      </c>
      <c r="O19" s="651">
        <f>IF(I19="",0,C19*365/Conversions!$B$252*VLOOKUP(I19,Conversions!$B$239:$D$243,3,FALSE))</f>
        <v>0</v>
      </c>
      <c r="P19" s="650">
        <f>IF(O19&gt;0,VLOOKUP(I19,Conversions!$B$239:$D$243,3,FALSE),0)</f>
        <v>0</v>
      </c>
    </row>
    <row r="20" spans="1:16" ht="12.75">
      <c r="A20" s="663">
        <f>'Home Lighting Log'!A27</f>
        <v>0</v>
      </c>
      <c r="B20" s="663">
        <f>'Home Lighting Log'!B27</f>
        <v>0</v>
      </c>
      <c r="C20" s="663">
        <f>'Home Lighting Log'!C27</f>
        <v>0</v>
      </c>
      <c r="D20" s="674"/>
      <c r="E20" s="673">
        <f>D20*Conversions!$C$261</f>
        <v>0</v>
      </c>
      <c r="F20" s="672">
        <f>E20*Conversions!$B$266</f>
        <v>0</v>
      </c>
      <c r="G20" s="671">
        <f>D20*Conversions!$B$257</f>
        <v>0</v>
      </c>
      <c r="H20" s="670">
        <f>C20*365/Conversions!$B$251*Conversions!$C$251</f>
        <v>0</v>
      </c>
      <c r="I20" s="669"/>
      <c r="J20" s="668">
        <f t="shared" si="0"/>
        <v>0</v>
      </c>
      <c r="K20" s="667">
        <f>J20*Conversions!$C$261</f>
        <v>0</v>
      </c>
      <c r="L20" s="666">
        <f>C20*365/Conversions!$B$252*Conversions!$C$260*Conversions!$C$262</f>
        <v>0</v>
      </c>
      <c r="M20" s="665"/>
      <c r="N20" s="664">
        <f>J20*Conversions!$B$257</f>
        <v>0</v>
      </c>
      <c r="O20" s="651">
        <f>IF(I20="",0,C20*365/Conversions!$B$252*VLOOKUP(I20,Conversions!$B$239:$D$243,3,FALSE))</f>
        <v>0</v>
      </c>
      <c r="P20" s="650">
        <f>IF(O20&gt;0,VLOOKUP(I20,Conversions!$B$239:$D$243,3,FALSE),0)</f>
        <v>0</v>
      </c>
    </row>
    <row r="21" spans="1:16" ht="12.75">
      <c r="A21" s="663">
        <f>'Home Lighting Log'!A28</f>
        <v>0</v>
      </c>
      <c r="B21" s="663">
        <f>'Home Lighting Log'!B28</f>
        <v>0</v>
      </c>
      <c r="C21" s="663">
        <f>'Home Lighting Log'!C28</f>
        <v>0</v>
      </c>
      <c r="D21" s="674"/>
      <c r="E21" s="673">
        <f>D21*Conversions!$C$261</f>
        <v>0</v>
      </c>
      <c r="F21" s="672">
        <f>E21*Conversions!$B$266</f>
        <v>0</v>
      </c>
      <c r="G21" s="671">
        <f>D21*Conversions!$B$257</f>
        <v>0</v>
      </c>
      <c r="H21" s="670">
        <f>C21*365/Conversions!$B$251*Conversions!$C$251</f>
        <v>0</v>
      </c>
      <c r="I21" s="669"/>
      <c r="J21" s="668">
        <f t="shared" si="0"/>
        <v>0</v>
      </c>
      <c r="K21" s="667">
        <f>J21*Conversions!$C$261</f>
        <v>0</v>
      </c>
      <c r="L21" s="666">
        <f>C21*365/Conversions!$B$252*Conversions!$C$260*Conversions!$C$262</f>
        <v>0</v>
      </c>
      <c r="M21" s="665"/>
      <c r="N21" s="664">
        <f>J21*Conversions!$B$257</f>
        <v>0</v>
      </c>
      <c r="O21" s="651">
        <f>IF(I21="",0,C21*365/Conversions!$B$252*VLOOKUP(I21,Conversions!$B$239:$D$243,3,FALSE))</f>
        <v>0</v>
      </c>
      <c r="P21" s="650">
        <f>IF(O21&gt;0,VLOOKUP(I21,Conversions!$B$239:$D$243,3,FALSE),0)</f>
        <v>0</v>
      </c>
    </row>
    <row r="22" spans="1:16" ht="12.75">
      <c r="A22" s="663">
        <f>'Home Lighting Log'!A29</f>
        <v>0</v>
      </c>
      <c r="B22" s="663">
        <f>'Home Lighting Log'!B29</f>
        <v>0</v>
      </c>
      <c r="C22" s="663">
        <f>'Home Lighting Log'!C29</f>
        <v>0</v>
      </c>
      <c r="D22" s="674"/>
      <c r="E22" s="673">
        <f>D22*Conversions!$C$261</f>
        <v>0</v>
      </c>
      <c r="F22" s="672">
        <f>E22*Conversions!$B$266</f>
        <v>0</v>
      </c>
      <c r="G22" s="671">
        <f>D22*Conversions!$B$257</f>
        <v>0</v>
      </c>
      <c r="H22" s="670">
        <f>C22*365/Conversions!$B$251*Conversions!$C$251</f>
        <v>0</v>
      </c>
      <c r="I22" s="669"/>
      <c r="J22" s="668">
        <f t="shared" si="0"/>
        <v>0</v>
      </c>
      <c r="K22" s="667">
        <f>J22*Conversions!$C$261</f>
        <v>0</v>
      </c>
      <c r="L22" s="666">
        <f>C22*365/Conversions!$B$252*Conversions!$C$260*Conversions!$C$262</f>
        <v>0</v>
      </c>
      <c r="M22" s="665"/>
      <c r="N22" s="664">
        <f>J22*Conversions!$B$257</f>
        <v>0</v>
      </c>
      <c r="O22" s="651">
        <f>IF(I22="",0,C22*365/Conversions!$B$252*VLOOKUP(I22,Conversions!$B$239:$D$243,3,FALSE))</f>
        <v>0</v>
      </c>
      <c r="P22" s="650">
        <f>IF(O22&gt;0,VLOOKUP(I22,Conversions!$B$239:$D$243,3,FALSE),0)</f>
        <v>0</v>
      </c>
    </row>
    <row r="23" spans="1:16" ht="12.75">
      <c r="A23" s="663">
        <f>'Home Lighting Log'!A30</f>
        <v>0</v>
      </c>
      <c r="B23" s="663">
        <f>'Home Lighting Log'!B30</f>
        <v>0</v>
      </c>
      <c r="C23" s="663">
        <f>'Home Lighting Log'!C30</f>
        <v>0</v>
      </c>
      <c r="D23" s="674"/>
      <c r="E23" s="673">
        <f>D23*Conversions!$C$261</f>
        <v>0</v>
      </c>
      <c r="F23" s="672">
        <f>E23*Conversions!$B$266</f>
        <v>0</v>
      </c>
      <c r="G23" s="671">
        <f>D23*Conversions!$B$257</f>
        <v>0</v>
      </c>
      <c r="H23" s="670">
        <f>C23*365/Conversions!$B$251*Conversions!$C$251</f>
        <v>0</v>
      </c>
      <c r="I23" s="669"/>
      <c r="J23" s="668">
        <f t="shared" si="0"/>
        <v>0</v>
      </c>
      <c r="K23" s="667">
        <f>J23*Conversions!$C$261</f>
        <v>0</v>
      </c>
      <c r="L23" s="666">
        <f>C23*365/Conversions!$B$252*Conversions!$C$260*Conversions!$C$262</f>
        <v>0</v>
      </c>
      <c r="M23" s="665"/>
      <c r="N23" s="664">
        <f>J23*Conversions!$B$257</f>
        <v>0</v>
      </c>
      <c r="O23" s="651">
        <f>IF(I23="",0,C23*365/Conversions!$B$252*VLOOKUP(I23,Conversions!$B$239:$D$243,3,FALSE))</f>
        <v>0</v>
      </c>
      <c r="P23" s="650">
        <f>IF(O23&gt;0,VLOOKUP(I23,Conversions!$B$239:$D$243,3,FALSE),0)</f>
        <v>0</v>
      </c>
    </row>
    <row r="24" spans="1:16" ht="12.75">
      <c r="A24" s="663">
        <f>'Home Lighting Log'!A31</f>
        <v>0</v>
      </c>
      <c r="B24" s="663">
        <f>'Home Lighting Log'!B31</f>
        <v>0</v>
      </c>
      <c r="C24" s="663">
        <f>'Home Lighting Log'!C31</f>
        <v>0</v>
      </c>
      <c r="D24" s="674"/>
      <c r="E24" s="673">
        <f>D24*Conversions!$C$261</f>
        <v>0</v>
      </c>
      <c r="F24" s="672">
        <f>E24*Conversions!$B$266</f>
        <v>0</v>
      </c>
      <c r="G24" s="671">
        <f>D24*Conversions!$B$257</f>
        <v>0</v>
      </c>
      <c r="H24" s="670">
        <f>C24*365/Conversions!$B$251*Conversions!$C$251</f>
        <v>0</v>
      </c>
      <c r="I24" s="669"/>
      <c r="J24" s="668">
        <f t="shared" si="0"/>
        <v>0</v>
      </c>
      <c r="K24" s="667">
        <f>J24*Conversions!$C$261</f>
        <v>0</v>
      </c>
      <c r="L24" s="666">
        <f>C24*365/Conversions!$B$252*Conversions!$C$260*Conversions!$C$262</f>
        <v>0</v>
      </c>
      <c r="M24" s="665"/>
      <c r="N24" s="664">
        <f>J24*Conversions!$B$257</f>
        <v>0</v>
      </c>
      <c r="O24" s="651">
        <f>IF(I24="",0,C24*365/Conversions!$B$252*VLOOKUP(I24,Conversions!$B$239:$D$243,3,FALSE))</f>
        <v>0</v>
      </c>
      <c r="P24" s="650">
        <f>IF(O24&gt;0,VLOOKUP(I24,Conversions!$B$239:$D$243,3,FALSE),0)</f>
        <v>0</v>
      </c>
    </row>
    <row r="25" spans="1:16" ht="12.75">
      <c r="A25" s="663">
        <f>'Home Lighting Log'!A32</f>
        <v>0</v>
      </c>
      <c r="B25" s="663">
        <f>'Home Lighting Log'!B32</f>
        <v>0</v>
      </c>
      <c r="C25" s="663">
        <f>'Home Lighting Log'!C32</f>
        <v>0</v>
      </c>
      <c r="D25" s="662"/>
      <c r="E25" s="661">
        <f>D25*Conversions!$C$261</f>
        <v>0</v>
      </c>
      <c r="F25" s="660">
        <f>E25*Conversions!$B$266</f>
        <v>0</v>
      </c>
      <c r="G25" s="659">
        <f>D25*Conversions!$B$257</f>
        <v>0</v>
      </c>
      <c r="H25" s="658">
        <f>C25*365/Conversions!$B$251*Conversions!$C$251</f>
        <v>0</v>
      </c>
      <c r="I25" s="657"/>
      <c r="J25" s="656">
        <f t="shared" si="0"/>
        <v>0</v>
      </c>
      <c r="K25" s="655">
        <f>J25*Conversions!$C$261</f>
        <v>0</v>
      </c>
      <c r="L25" s="654">
        <f>C25*365/Conversions!$B$252*Conversions!$C$260*Conversions!$C$262</f>
        <v>0</v>
      </c>
      <c r="M25" s="653"/>
      <c r="N25" s="652">
        <f>J25*Conversions!$B$257</f>
        <v>0</v>
      </c>
      <c r="O25" s="651">
        <f>IF(I25="",0,C25*365/Conversions!$B$252*VLOOKUP(I25,Conversions!$B$239:$D$243,3,FALSE))</f>
        <v>0</v>
      </c>
      <c r="P25" s="650">
        <f>IF(O25&gt;0,VLOOKUP(I25,Conversions!$B$239:$D$243,3,FALSE),0)</f>
        <v>0</v>
      </c>
    </row>
    <row r="26" spans="1:14" ht="12.75">
      <c r="A26" s="169" t="s">
        <v>226</v>
      </c>
      <c r="D26" s="647">
        <f>SUM(D6:D25)</f>
        <v>2.9025</v>
      </c>
      <c r="E26" s="649">
        <f>SUM(E6:E25)</f>
        <v>0.03483</v>
      </c>
      <c r="F26" s="172">
        <f>SUM(F6:F25)</f>
        <v>41.79600000000001</v>
      </c>
      <c r="G26" s="607">
        <f>SUM(G6:G25)</f>
        <v>0.377325</v>
      </c>
      <c r="H26" s="169"/>
      <c r="J26" s="169">
        <f>SUM(J6:J25)</f>
        <v>0.956</v>
      </c>
      <c r="K26" s="604">
        <f>SUM(K6:K25)</f>
        <v>0.011472</v>
      </c>
      <c r="N26" s="607">
        <f>SUM(N6:N25)</f>
        <v>0.12428</v>
      </c>
    </row>
    <row r="27" spans="1:16" ht="12.75">
      <c r="A27" s="169" t="s">
        <v>225</v>
      </c>
      <c r="D27" s="647">
        <f>D26*365</f>
        <v>1059.4125</v>
      </c>
      <c r="E27" s="649">
        <f>E26*365</f>
        <v>12.71295</v>
      </c>
      <c r="F27" s="172">
        <f>F26*365</f>
        <v>15255.540000000003</v>
      </c>
      <c r="G27" s="607">
        <f>G26*365</f>
        <v>137.723625</v>
      </c>
      <c r="H27" s="607">
        <f>SUM(H6:H25)</f>
        <v>6.048571428571429</v>
      </c>
      <c r="J27" s="169">
        <f>J26*365</f>
        <v>348.94</v>
      </c>
      <c r="K27" s="604">
        <f>K26*365</f>
        <v>4.1872799999999994</v>
      </c>
      <c r="L27" s="648">
        <f>SUM(L6:L25)</f>
        <v>0.7056666666666667</v>
      </c>
      <c r="M27" s="263">
        <f>(K27+L27)*Conversions!$B$266</f>
        <v>5871.535999999999</v>
      </c>
      <c r="N27" s="607">
        <f>N26*365</f>
        <v>45.3622</v>
      </c>
      <c r="O27" s="607">
        <f>SUM(O6:O25)</f>
        <v>6.656904761904761</v>
      </c>
      <c r="P27" s="607">
        <f>SUM(P6:P25)</f>
        <v>57.5</v>
      </c>
    </row>
    <row r="28" spans="1:14" ht="12.75">
      <c r="A28" s="169"/>
      <c r="D28" s="647"/>
      <c r="E28" s="604"/>
      <c r="F28" s="566">
        <f>F27/50</f>
        <v>305.11080000000004</v>
      </c>
      <c r="G28" s="607" t="s">
        <v>224</v>
      </c>
      <c r="I28" s="169"/>
      <c r="J28" s="604"/>
      <c r="K28" s="604"/>
      <c r="M28" s="566">
        <f>M27/50</f>
        <v>117.43071999999998</v>
      </c>
      <c r="N28" s="607" t="s">
        <v>224</v>
      </c>
    </row>
    <row r="29" spans="5:9" ht="12.75">
      <c r="E29" s="646" t="s">
        <v>223</v>
      </c>
      <c r="F29" s="645">
        <f>$D$27/Conversions!B235</f>
        <v>0.08838712160757946</v>
      </c>
      <c r="I29" s="169"/>
    </row>
    <row r="30" spans="8:11" ht="12.75">
      <c r="H30" s="169"/>
      <c r="I30" s="169"/>
      <c r="J30" s="169"/>
      <c r="K30" s="169"/>
    </row>
    <row r="31" spans="1:11" ht="12.75">
      <c r="A31" s="644"/>
      <c r="B31" s="643"/>
      <c r="C31" s="643"/>
      <c r="D31" s="642"/>
      <c r="E31" s="641" t="s">
        <v>222</v>
      </c>
      <c r="F31" s="640" t="s">
        <v>221</v>
      </c>
      <c r="G31" s="639" t="s">
        <v>220</v>
      </c>
      <c r="H31" s="169"/>
      <c r="I31" s="169"/>
      <c r="J31" s="169"/>
      <c r="K31" s="169"/>
    </row>
    <row r="32" spans="1:11" ht="12.75">
      <c r="A32" s="638"/>
      <c r="B32" s="637"/>
      <c r="C32" s="637"/>
      <c r="D32" s="636" t="s">
        <v>219</v>
      </c>
      <c r="E32" s="635">
        <f>E27</f>
        <v>12.71295</v>
      </c>
      <c r="F32" s="634">
        <f>K27+L27</f>
        <v>4.892946666666666</v>
      </c>
      <c r="G32" s="633">
        <f>E32-F32</f>
        <v>7.820003333333333</v>
      </c>
      <c r="H32" s="169"/>
      <c r="I32" s="169"/>
      <c r="J32" s="169"/>
      <c r="K32" s="169"/>
    </row>
    <row r="33" spans="1:11" ht="12.75">
      <c r="A33" s="628"/>
      <c r="B33" s="627"/>
      <c r="C33" s="627"/>
      <c r="D33" s="632" t="s">
        <v>218</v>
      </c>
      <c r="E33" s="631">
        <f>($D$27/1000*Conversions!$B$271)+($D$27/1000*Conversions!$D$271*Conversions!$B$278)+($D$27/1000*Conversions!F271*Conversions!$B$279)</f>
        <v>770.4988458299999</v>
      </c>
      <c r="F33" s="630">
        <f>($J$27/1000*Conversions!$B$271)+($J$27/1000*Conversions!$D$271*Conversions!$B$278)+($J$27/1000*Conversions!F271*Conversions!$B$279)</f>
        <v>253.78015387199997</v>
      </c>
      <c r="G33" s="629">
        <f>E33-F33</f>
        <v>516.7186919579999</v>
      </c>
      <c r="H33" s="169"/>
      <c r="I33" s="169"/>
      <c r="J33" s="169"/>
      <c r="K33" s="169"/>
    </row>
    <row r="34" spans="1:11" ht="12.75">
      <c r="A34" s="628"/>
      <c r="B34" s="627"/>
      <c r="C34" s="627"/>
      <c r="D34" s="626" t="s">
        <v>217</v>
      </c>
      <c r="E34" s="625">
        <f>G27+H27</f>
        <v>143.77219642857142</v>
      </c>
      <c r="F34" s="624">
        <f>N27+O27</f>
        <v>52.019104761904764</v>
      </c>
      <c r="G34" s="600">
        <f>E34-F34</f>
        <v>91.75309166666665</v>
      </c>
      <c r="H34" s="169"/>
      <c r="I34" s="169"/>
      <c r="J34" s="169"/>
      <c r="K34" s="169"/>
    </row>
    <row r="35" spans="1:7" ht="12.75">
      <c r="A35" s="623"/>
      <c r="B35" s="622"/>
      <c r="C35" s="622"/>
      <c r="D35" s="621" t="s">
        <v>216</v>
      </c>
      <c r="E35" s="329"/>
      <c r="F35" s="620">
        <f>N27+P27</f>
        <v>102.8622</v>
      </c>
      <c r="G35" s="619">
        <f>E34-F35</f>
        <v>40.90999642857142</v>
      </c>
    </row>
  </sheetData>
  <sheetProtection/>
  <mergeCells count="1">
    <mergeCell ref="D4:G4"/>
  </mergeCells>
  <printOptions headings="1"/>
  <pageMargins left="0.75" right="0.75" top="1" bottom="1" header="0.5" footer="0.5"/>
  <pageSetup fitToHeight="1" fitToWidth="1" orientation="landscape" scale="71" r:id="rId1"/>
</worksheet>
</file>

<file path=xl/worksheets/sheet15.xml><?xml version="1.0" encoding="utf-8"?>
<worksheet xmlns="http://schemas.openxmlformats.org/spreadsheetml/2006/main" xmlns:r="http://schemas.openxmlformats.org/officeDocument/2006/relationships">
  <sheetPr codeName="Sheet32">
    <tabColor rgb="FFEDAA03"/>
    <pageSetUpPr fitToPage="1"/>
  </sheetPr>
  <dimension ref="A1:M124"/>
  <sheetViews>
    <sheetView zoomScalePageLayoutView="0" workbookViewId="0" topLeftCell="A1">
      <selection activeCell="A1" sqref="A1"/>
    </sheetView>
  </sheetViews>
  <sheetFormatPr defaultColWidth="10.8515625" defaultRowHeight="12.75"/>
  <cols>
    <col min="1" max="1" width="24.140625" style="170" customWidth="1"/>
    <col min="2" max="13" width="10.8515625" style="170" customWidth="1"/>
    <col min="14" max="14" width="15.421875" style="170" customWidth="1"/>
    <col min="15" max="15" width="14.00390625" style="170" bestFit="1" customWidth="1"/>
    <col min="16" max="16384" width="10.8515625" style="170" customWidth="1"/>
  </cols>
  <sheetData>
    <row r="1" ht="15.75">
      <c r="A1" s="1131" t="s">
        <v>270</v>
      </c>
    </row>
    <row r="2" spans="1:10" ht="27" customHeight="1">
      <c r="A2" s="1306" t="s">
        <v>269</v>
      </c>
      <c r="B2" s="1222"/>
      <c r="C2" s="1222"/>
      <c r="D2" s="1222"/>
      <c r="E2" s="1222"/>
      <c r="F2" s="1222"/>
      <c r="G2" s="1222"/>
      <c r="H2" s="1222"/>
      <c r="I2" s="1222"/>
      <c r="J2" s="1222"/>
    </row>
    <row r="3" spans="1:10" ht="12.75">
      <c r="A3" s="787"/>
      <c r="B3" s="299"/>
      <c r="C3" s="299"/>
      <c r="D3" s="299"/>
      <c r="E3" s="299"/>
      <c r="F3" s="299"/>
      <c r="G3" s="299"/>
      <c r="H3" s="299"/>
      <c r="I3" s="299"/>
      <c r="J3" s="299"/>
    </row>
    <row r="4" spans="1:10" ht="27.75" customHeight="1">
      <c r="A4" s="1306" t="s">
        <v>268</v>
      </c>
      <c r="B4" s="1306"/>
      <c r="C4" s="1306"/>
      <c r="D4" s="1306"/>
      <c r="E4" s="1306"/>
      <c r="F4" s="1306"/>
      <c r="G4" s="1306"/>
      <c r="H4" s="1306"/>
      <c r="I4" s="1306"/>
      <c r="J4" s="1306"/>
    </row>
    <row r="5" spans="1:10" ht="15" customHeight="1">
      <c r="A5" s="1306" t="s">
        <v>267</v>
      </c>
      <c r="B5" s="1306"/>
      <c r="C5" s="1306"/>
      <c r="D5" s="1306"/>
      <c r="E5" s="1306"/>
      <c r="F5" s="1306"/>
      <c r="G5" s="1306"/>
      <c r="H5" s="1306"/>
      <c r="I5" s="1306"/>
      <c r="J5" s="1306"/>
    </row>
    <row r="7" ht="12.75">
      <c r="A7" s="786" t="s">
        <v>266</v>
      </c>
    </row>
    <row r="8" spans="1:10" ht="76.5">
      <c r="A8" s="785"/>
      <c r="B8" s="746" t="s">
        <v>233</v>
      </c>
      <c r="C8" s="745" t="s">
        <v>265</v>
      </c>
      <c r="D8" s="784" t="s">
        <v>251</v>
      </c>
      <c r="E8" s="783" t="s">
        <v>250</v>
      </c>
      <c r="F8" s="782" t="s">
        <v>248</v>
      </c>
      <c r="G8" s="781" t="s">
        <v>264</v>
      </c>
      <c r="H8" s="780" t="s">
        <v>263</v>
      </c>
      <c r="I8" s="779" t="s">
        <v>227</v>
      </c>
      <c r="J8" s="778" t="s">
        <v>262</v>
      </c>
    </row>
    <row r="9" spans="1:10" ht="12.75">
      <c r="A9" s="777" t="s">
        <v>222</v>
      </c>
      <c r="B9" s="776">
        <f>'Home Lighting Calc'!D27</f>
        <v>1059.4125</v>
      </c>
      <c r="C9" s="775">
        <f>'Home Lighting Calc'!E33</f>
        <v>770.4988458299999</v>
      </c>
      <c r="D9" s="774">
        <f>'Home Lighting Calc'!E27</f>
        <v>12.71295</v>
      </c>
      <c r="E9" s="773"/>
      <c r="F9" s="772">
        <f>D9+E9</f>
        <v>12.71295</v>
      </c>
      <c r="G9" s="771">
        <f>'Home Lighting Calc'!G27</f>
        <v>137.723625</v>
      </c>
      <c r="H9" s="770">
        <f>'Home Lighting Calc'!H27</f>
        <v>6.048571428571429</v>
      </c>
      <c r="I9" s="769"/>
      <c r="J9" s="768">
        <f>G9+H9</f>
        <v>143.77219642857142</v>
      </c>
    </row>
    <row r="10" spans="1:10" ht="12.75">
      <c r="A10" s="767" t="s">
        <v>221</v>
      </c>
      <c r="B10" s="739">
        <f>'Home Lighting Calc'!J27</f>
        <v>348.94</v>
      </c>
      <c r="C10" s="736">
        <f>'Home Lighting Calc'!F33</f>
        <v>253.78015387199997</v>
      </c>
      <c r="D10" s="766">
        <f>'Home Lighting Calc'!K27</f>
        <v>4.1872799999999994</v>
      </c>
      <c r="E10" s="765">
        <f>'Home Lighting Calc'!L27</f>
        <v>0.7056666666666667</v>
      </c>
      <c r="F10" s="764">
        <f>D10+E10</f>
        <v>4.892946666666666</v>
      </c>
      <c r="G10" s="763">
        <f>'Home Lighting Calc'!N27</f>
        <v>45.3622</v>
      </c>
      <c r="H10" s="762">
        <f>'Home Lighting Calc'!O27</f>
        <v>6.656904761904761</v>
      </c>
      <c r="I10" s="761">
        <f>'Home Lighting Calc'!P27</f>
        <v>57.5</v>
      </c>
      <c r="J10" s="760">
        <f>G10+I10</f>
        <v>102.8622</v>
      </c>
    </row>
    <row r="11" spans="1:10" ht="12.75">
      <c r="A11" s="759" t="s">
        <v>261</v>
      </c>
      <c r="B11" s="758">
        <f>B9-B10</f>
        <v>710.4724999999999</v>
      </c>
      <c r="C11" s="757">
        <f>C9-C10</f>
        <v>516.7186919579999</v>
      </c>
      <c r="D11" s="756"/>
      <c r="E11" s="755"/>
      <c r="F11" s="754">
        <f>F9-F10</f>
        <v>7.820003333333333</v>
      </c>
      <c r="G11" s="753"/>
      <c r="H11" s="752"/>
      <c r="I11" s="751"/>
      <c r="J11" s="750">
        <f>J9-J10</f>
        <v>40.90999642857142</v>
      </c>
    </row>
    <row r="12" spans="1:10" s="645" customFormat="1" ht="12.75">
      <c r="A12" s="749" t="s">
        <v>260</v>
      </c>
      <c r="B12" s="645">
        <f>B11/B9</f>
        <v>0.6706287683031869</v>
      </c>
      <c r="C12" s="645">
        <f>C11/C9</f>
        <v>0.6706287683031869</v>
      </c>
      <c r="F12" s="645">
        <f>F11/F9</f>
        <v>0.6151210642166715</v>
      </c>
      <c r="J12" s="645">
        <f>J11/J9</f>
        <v>0.2845473425656137</v>
      </c>
    </row>
    <row r="20" spans="11:13" ht="12.75">
      <c r="K20" s="734"/>
      <c r="L20" s="732"/>
      <c r="M20" s="732"/>
    </row>
    <row r="21" spans="11:13" ht="12.75">
      <c r="K21" s="733"/>
      <c r="L21" s="732"/>
      <c r="M21" s="732"/>
    </row>
    <row r="34" spans="6:9" ht="15.75">
      <c r="F34" s="1307" t="s">
        <v>252</v>
      </c>
      <c r="G34" s="1307"/>
      <c r="H34" s="1307"/>
      <c r="I34" s="1307"/>
    </row>
    <row r="81" ht="12.75">
      <c r="K81" s="713"/>
    </row>
    <row r="100" spans="1:8" ht="25.5">
      <c r="A100" s="748"/>
      <c r="B100" s="746" t="s">
        <v>259</v>
      </c>
      <c r="C100" s="747" t="s">
        <v>258</v>
      </c>
      <c r="D100" s="746" t="s">
        <v>257</v>
      </c>
      <c r="E100" s="737"/>
      <c r="F100" s="745" t="s">
        <v>256</v>
      </c>
      <c r="G100" s="737" t="s">
        <v>249</v>
      </c>
      <c r="H100" s="745" t="s">
        <v>255</v>
      </c>
    </row>
    <row r="101" spans="1:8" ht="12.75">
      <c r="A101" s="744" t="s">
        <v>222</v>
      </c>
      <c r="B101" s="743"/>
      <c r="C101" s="742"/>
      <c r="D101" s="742">
        <f>B9</f>
        <v>1059.4125</v>
      </c>
      <c r="E101" s="737" t="s">
        <v>254</v>
      </c>
      <c r="F101" s="737"/>
      <c r="G101" s="737"/>
      <c r="H101" s="741">
        <f>C9</f>
        <v>770.4988458299999</v>
      </c>
    </row>
    <row r="102" spans="1:8" ht="12.75">
      <c r="A102" s="740" t="s">
        <v>221</v>
      </c>
      <c r="B102" s="739">
        <f>B10</f>
        <v>348.94</v>
      </c>
      <c r="C102" s="739">
        <f>D101-B102</f>
        <v>710.4724999999999</v>
      </c>
      <c r="D102" s="738"/>
      <c r="E102" s="737" t="s">
        <v>253</v>
      </c>
      <c r="F102" s="735">
        <f>C10</f>
        <v>253.78015387199997</v>
      </c>
      <c r="G102" s="736">
        <f>H101-F102</f>
        <v>516.7186919579999</v>
      </c>
      <c r="H102" s="735"/>
    </row>
    <row r="105" spans="1:5" ht="76.5">
      <c r="A105" s="731"/>
      <c r="B105" s="730" t="s">
        <v>251</v>
      </c>
      <c r="C105" s="730" t="s">
        <v>250</v>
      </c>
      <c r="D105" s="730" t="s">
        <v>249</v>
      </c>
      <c r="E105" s="729" t="s">
        <v>248</v>
      </c>
    </row>
    <row r="106" spans="1:5" ht="12.75">
      <c r="A106" s="728" t="s">
        <v>222</v>
      </c>
      <c r="B106" s="727">
        <f>D9</f>
        <v>12.71295</v>
      </c>
      <c r="C106" s="727"/>
      <c r="D106" s="727"/>
      <c r="E106" s="726">
        <f>B106+C106</f>
        <v>12.71295</v>
      </c>
    </row>
    <row r="107" spans="1:5" ht="12.75">
      <c r="A107" s="725" t="s">
        <v>221</v>
      </c>
      <c r="B107" s="724">
        <f>D10</f>
        <v>4.1872799999999994</v>
      </c>
      <c r="C107" s="724">
        <f>E10</f>
        <v>0.7056666666666667</v>
      </c>
      <c r="D107" s="724">
        <f>E106-E107</f>
        <v>7.820003333333333</v>
      </c>
      <c r="E107" s="723">
        <f>B107+C107</f>
        <v>4.892946666666666</v>
      </c>
    </row>
    <row r="110" spans="1:2" ht="89.25">
      <c r="A110" s="722"/>
      <c r="B110" s="721" t="s">
        <v>247</v>
      </c>
    </row>
    <row r="111" spans="1:2" ht="12.75">
      <c r="A111" s="720" t="s">
        <v>222</v>
      </c>
      <c r="B111" s="719">
        <f>'Home Lighting Calc'!F28</f>
        <v>305.11080000000004</v>
      </c>
    </row>
    <row r="112" spans="1:2" ht="12.75">
      <c r="A112" s="718" t="s">
        <v>221</v>
      </c>
      <c r="B112" s="717">
        <f>'Home Lighting Calc'!M28</f>
        <v>117.43071999999998</v>
      </c>
    </row>
    <row r="115" spans="1:4" ht="12.75">
      <c r="A115" s="712"/>
      <c r="B115" s="711" t="s">
        <v>246</v>
      </c>
      <c r="C115" s="716" t="s">
        <v>245</v>
      </c>
      <c r="D115" s="278" t="s">
        <v>242</v>
      </c>
    </row>
    <row r="116" spans="1:4" ht="12.75">
      <c r="A116" s="710" t="s">
        <v>222</v>
      </c>
      <c r="B116" s="708">
        <f>J9</f>
        <v>143.77219642857142</v>
      </c>
      <c r="C116" s="715"/>
      <c r="D116" s="250"/>
    </row>
    <row r="117" spans="1:4" ht="12.75">
      <c r="A117" s="706" t="s">
        <v>240</v>
      </c>
      <c r="B117" s="705">
        <f>G10+H10</f>
        <v>52.019104761904764</v>
      </c>
      <c r="C117" s="705">
        <f>J10-I10</f>
        <v>45.3622</v>
      </c>
      <c r="D117" s="704">
        <f>B116-C117-B117</f>
        <v>46.390891666666654</v>
      </c>
    </row>
    <row r="118" ht="12.75">
      <c r="B118" s="714"/>
    </row>
    <row r="121" spans="1:4" ht="12.75">
      <c r="A121" s="712"/>
      <c r="B121" s="711" t="s">
        <v>244</v>
      </c>
      <c r="C121" s="711" t="s">
        <v>243</v>
      </c>
      <c r="D121" s="278" t="s">
        <v>242</v>
      </c>
    </row>
    <row r="122" spans="1:4" ht="12.75">
      <c r="A122" s="710" t="s">
        <v>222</v>
      </c>
      <c r="B122" s="708">
        <f>H9</f>
        <v>6.048571428571429</v>
      </c>
      <c r="C122" s="708">
        <f>G9</f>
        <v>137.723625</v>
      </c>
      <c r="D122" s="250"/>
    </row>
    <row r="123" spans="1:4" ht="12.75">
      <c r="A123" s="709" t="s">
        <v>241</v>
      </c>
      <c r="B123" s="708">
        <f>I10</f>
        <v>57.5</v>
      </c>
      <c r="C123" s="708">
        <f>C124</f>
        <v>45.3622</v>
      </c>
      <c r="D123" s="707">
        <f>($B$122+$C$122)-C123-B123</f>
        <v>40.90999642857142</v>
      </c>
    </row>
    <row r="124" spans="1:4" ht="12.75">
      <c r="A124" s="706" t="s">
        <v>240</v>
      </c>
      <c r="B124" s="705">
        <f>H10</f>
        <v>6.656904761904761</v>
      </c>
      <c r="C124" s="705">
        <f>G10</f>
        <v>45.3622</v>
      </c>
      <c r="D124" s="704">
        <f>($B$122+$C$122)-C124-B124</f>
        <v>91.75309166666666</v>
      </c>
    </row>
  </sheetData>
  <sheetProtection/>
  <mergeCells count="4">
    <mergeCell ref="A2:J2"/>
    <mergeCell ref="A4:J4"/>
    <mergeCell ref="F34:I34"/>
    <mergeCell ref="A5:J5"/>
  </mergeCells>
  <printOptions headings="1"/>
  <pageMargins left="0.75" right="0.75" top="1" bottom="1" header="0.5" footer="0.5"/>
  <pageSetup fitToHeight="1" fitToWidth="1" orientation="portrait" paperSize="3" scale="59" r:id="rId2"/>
  <drawing r:id="rId1"/>
</worksheet>
</file>

<file path=xl/worksheets/sheet16.xml><?xml version="1.0" encoding="utf-8"?>
<worksheet xmlns="http://schemas.openxmlformats.org/spreadsheetml/2006/main" xmlns:r="http://schemas.openxmlformats.org/officeDocument/2006/relationships">
  <sheetPr codeName="Sheet30">
    <tabColor rgb="FFEDAA03"/>
    <pageSetUpPr fitToPage="1"/>
  </sheetPr>
  <dimension ref="A1:K26"/>
  <sheetViews>
    <sheetView zoomScalePageLayoutView="0" workbookViewId="0" topLeftCell="A1">
      <selection activeCell="A1" sqref="A1"/>
    </sheetView>
  </sheetViews>
  <sheetFormatPr defaultColWidth="10.8515625" defaultRowHeight="12.75"/>
  <cols>
    <col min="1" max="7" width="10.8515625" style="299" customWidth="1"/>
    <col min="8" max="16384" width="10.8515625" style="299" customWidth="1"/>
  </cols>
  <sheetData>
    <row r="1" ht="15.75">
      <c r="A1" s="1131" t="s">
        <v>215</v>
      </c>
    </row>
    <row r="2" spans="1:11" ht="27.75" customHeight="1">
      <c r="A2" s="1308" t="s">
        <v>214</v>
      </c>
      <c r="B2" s="1222"/>
      <c r="C2" s="1222"/>
      <c r="D2" s="1222"/>
      <c r="E2" s="1222"/>
      <c r="F2" s="1222"/>
      <c r="G2" s="1222"/>
      <c r="H2" s="324"/>
      <c r="I2" s="324"/>
      <c r="J2" s="324"/>
      <c r="K2" s="324"/>
    </row>
    <row r="3" spans="1:11" ht="27.75" customHeight="1">
      <c r="A3" s="1308" t="s">
        <v>213</v>
      </c>
      <c r="B3" s="1222"/>
      <c r="C3" s="1222"/>
      <c r="D3" s="1222"/>
      <c r="E3" s="1222"/>
      <c r="F3" s="1222"/>
      <c r="G3" s="1222"/>
      <c r="H3" s="324"/>
      <c r="I3" s="324"/>
      <c r="J3" s="324"/>
      <c r="K3" s="324"/>
    </row>
    <row r="4" spans="1:11" ht="27.75" customHeight="1">
      <c r="A4" s="1308" t="s">
        <v>212</v>
      </c>
      <c r="B4" s="1222"/>
      <c r="C4" s="1222"/>
      <c r="D4" s="1222"/>
      <c r="E4" s="1222"/>
      <c r="F4" s="1222"/>
      <c r="G4" s="1222"/>
      <c r="H4" s="324"/>
      <c r="I4" s="324"/>
      <c r="J4" s="324"/>
      <c r="K4" s="324"/>
    </row>
    <row r="5" spans="1:11" ht="27.75" customHeight="1">
      <c r="A5" s="1308" t="s">
        <v>211</v>
      </c>
      <c r="B5" s="1222"/>
      <c r="C5" s="1222"/>
      <c r="D5" s="1222"/>
      <c r="E5" s="1222"/>
      <c r="F5" s="1222"/>
      <c r="G5" s="1222"/>
      <c r="H5" s="324"/>
      <c r="I5" s="324"/>
      <c r="J5" s="324"/>
      <c r="K5" s="324"/>
    </row>
    <row r="6" spans="1:11" ht="27.75" customHeight="1">
      <c r="A6" s="1308" t="s">
        <v>210</v>
      </c>
      <c r="B6" s="1222"/>
      <c r="C6" s="1222"/>
      <c r="D6" s="1222"/>
      <c r="E6" s="1222"/>
      <c r="F6" s="1222"/>
      <c r="G6" s="1222"/>
      <c r="H6" s="324"/>
      <c r="I6" s="324"/>
      <c r="J6" s="324"/>
      <c r="K6" s="324"/>
    </row>
    <row r="7" spans="1:11" ht="42" customHeight="1">
      <c r="A7" s="1308" t="s">
        <v>209</v>
      </c>
      <c r="B7" s="1222"/>
      <c r="C7" s="1222"/>
      <c r="D7" s="1222"/>
      <c r="E7" s="1222"/>
      <c r="F7" s="1222"/>
      <c r="G7" s="1222"/>
      <c r="H7" s="324"/>
      <c r="I7" s="324"/>
      <c r="J7" s="324"/>
      <c r="K7" s="324"/>
    </row>
    <row r="8" spans="1:11" ht="42" customHeight="1">
      <c r="A8" s="1308" t="s">
        <v>208</v>
      </c>
      <c r="B8" s="1222"/>
      <c r="C8" s="1222"/>
      <c r="D8" s="1222"/>
      <c r="E8" s="1222"/>
      <c r="F8" s="1222"/>
      <c r="G8" s="1222"/>
      <c r="H8" s="324"/>
      <c r="I8" s="324"/>
      <c r="J8" s="324"/>
      <c r="K8" s="324"/>
    </row>
    <row r="9" spans="1:11" ht="27.75" customHeight="1">
      <c r="A9" s="1308" t="s">
        <v>207</v>
      </c>
      <c r="B9" s="1222"/>
      <c r="C9" s="1222"/>
      <c r="D9" s="1222"/>
      <c r="E9" s="1222"/>
      <c r="F9" s="1222"/>
      <c r="G9" s="1222"/>
      <c r="H9" s="324"/>
      <c r="I9" s="324"/>
      <c r="J9" s="324"/>
      <c r="K9" s="324"/>
    </row>
    <row r="10" spans="1:11" ht="42" customHeight="1">
      <c r="A10" s="1308" t="s">
        <v>206</v>
      </c>
      <c r="B10" s="1222"/>
      <c r="C10" s="1222"/>
      <c r="D10" s="1222"/>
      <c r="E10" s="1222"/>
      <c r="F10" s="1222"/>
      <c r="G10" s="1222"/>
      <c r="H10" s="324"/>
      <c r="I10" s="324"/>
      <c r="J10" s="324"/>
      <c r="K10" s="324"/>
    </row>
    <row r="11" spans="1:11" ht="42" customHeight="1">
      <c r="A11" s="1308" t="s">
        <v>205</v>
      </c>
      <c r="B11" s="1222"/>
      <c r="C11" s="1222"/>
      <c r="D11" s="1222"/>
      <c r="E11" s="1222"/>
      <c r="F11" s="1222"/>
      <c r="G11" s="1222"/>
      <c r="H11" s="324"/>
      <c r="I11" s="324"/>
      <c r="J11" s="324"/>
      <c r="K11" s="324"/>
    </row>
    <row r="12" spans="1:11" ht="42" customHeight="1">
      <c r="A12" s="1308" t="s">
        <v>204</v>
      </c>
      <c r="B12" s="1222"/>
      <c r="C12" s="1222"/>
      <c r="D12" s="1222"/>
      <c r="E12" s="1222"/>
      <c r="F12" s="1222"/>
      <c r="G12" s="1222"/>
      <c r="H12" s="324"/>
      <c r="I12" s="324"/>
      <c r="J12" s="324"/>
      <c r="K12" s="324"/>
    </row>
    <row r="13" spans="1:11" ht="42" customHeight="1">
      <c r="A13" s="1308" t="s">
        <v>203</v>
      </c>
      <c r="B13" s="1222"/>
      <c r="C13" s="1222"/>
      <c r="D13" s="1222"/>
      <c r="E13" s="1222"/>
      <c r="F13" s="1222"/>
      <c r="G13" s="1222"/>
      <c r="H13" s="324"/>
      <c r="I13" s="324"/>
      <c r="J13" s="324"/>
      <c r="K13" s="324"/>
    </row>
    <row r="14" spans="1:11" ht="42" customHeight="1">
      <c r="A14" s="1308" t="s">
        <v>202</v>
      </c>
      <c r="B14" s="1222"/>
      <c r="C14" s="1222"/>
      <c r="D14" s="1222"/>
      <c r="E14" s="1222"/>
      <c r="F14" s="1222"/>
      <c r="G14" s="1222"/>
      <c r="H14" s="324"/>
      <c r="I14" s="324"/>
      <c r="J14" s="324"/>
      <c r="K14" s="324"/>
    </row>
    <row r="15" spans="1:8" ht="27.75" customHeight="1">
      <c r="A15" s="324"/>
      <c r="H15" s="424"/>
    </row>
    <row r="17" spans="1:7" ht="12.75">
      <c r="A17" s="1308" t="s">
        <v>201</v>
      </c>
      <c r="B17" s="1222"/>
      <c r="C17" s="1222"/>
      <c r="D17" s="1222"/>
      <c r="E17" s="1222"/>
      <c r="F17" s="1222"/>
      <c r="G17" s="1222"/>
    </row>
    <row r="18" spans="1:7" ht="12.75">
      <c r="A18" s="1308" t="s">
        <v>200</v>
      </c>
      <c r="B18" s="1222"/>
      <c r="C18" s="1222"/>
      <c r="D18" s="1222"/>
      <c r="E18" s="1222"/>
      <c r="F18" s="1222"/>
      <c r="G18" s="1222"/>
    </row>
    <row r="19" spans="1:7" ht="42" customHeight="1">
      <c r="A19" s="1308" t="s">
        <v>199</v>
      </c>
      <c r="B19" s="1222"/>
      <c r="C19" s="1222"/>
      <c r="D19" s="1222"/>
      <c r="E19" s="1222"/>
      <c r="F19" s="1222"/>
      <c r="G19" s="1222"/>
    </row>
    <row r="20" spans="1:7" ht="27.75" customHeight="1">
      <c r="A20" s="1308" t="s">
        <v>198</v>
      </c>
      <c r="B20" s="1222"/>
      <c r="C20" s="1222"/>
      <c r="D20" s="1222"/>
      <c r="E20" s="1222"/>
      <c r="F20" s="1222"/>
      <c r="G20" s="1222"/>
    </row>
    <row r="21" spans="1:7" ht="42" customHeight="1">
      <c r="A21" s="1308" t="s">
        <v>197</v>
      </c>
      <c r="B21" s="1222"/>
      <c r="C21" s="1222"/>
      <c r="D21" s="1222"/>
      <c r="E21" s="1222"/>
      <c r="F21" s="1222"/>
      <c r="G21" s="1222"/>
    </row>
    <row r="22" spans="1:7" ht="13.5" customHeight="1">
      <c r="A22" s="1308" t="s">
        <v>196</v>
      </c>
      <c r="B22" s="1222"/>
      <c r="C22" s="1222"/>
      <c r="D22" s="1222"/>
      <c r="E22" s="1222"/>
      <c r="F22" s="1222"/>
      <c r="G22" s="1222"/>
    </row>
    <row r="23" spans="1:7" ht="42" customHeight="1">
      <c r="A23" s="1308" t="s">
        <v>195</v>
      </c>
      <c r="B23" s="1222"/>
      <c r="C23" s="1222"/>
      <c r="D23" s="1222"/>
      <c r="E23" s="1222"/>
      <c r="F23" s="1222"/>
      <c r="G23" s="1222"/>
    </row>
    <row r="24" spans="1:7" ht="42" customHeight="1">
      <c r="A24" s="1308" t="s">
        <v>194</v>
      </c>
      <c r="B24" s="1222"/>
      <c r="C24" s="1222"/>
      <c r="D24" s="1222"/>
      <c r="E24" s="1222"/>
      <c r="F24" s="1222"/>
      <c r="G24" s="1222"/>
    </row>
    <row r="25" spans="1:7" ht="18.75" customHeight="1">
      <c r="A25" s="1309" t="s">
        <v>381</v>
      </c>
      <c r="B25" s="1309"/>
      <c r="C25" s="1309"/>
      <c r="D25" s="1309"/>
      <c r="E25" s="1309"/>
      <c r="F25" s="1309"/>
      <c r="G25" s="1309"/>
    </row>
    <row r="26" ht="12.75">
      <c r="A26" s="400" t="s">
        <v>382</v>
      </c>
    </row>
  </sheetData>
  <sheetProtection/>
  <mergeCells count="22">
    <mergeCell ref="A6:G6"/>
    <mergeCell ref="A22:G22"/>
    <mergeCell ref="A9:G9"/>
    <mergeCell ref="A21:G21"/>
    <mergeCell ref="A11:G11"/>
    <mergeCell ref="A23:G23"/>
    <mergeCell ref="A10:G10"/>
    <mergeCell ref="A24:G24"/>
    <mergeCell ref="A14:G14"/>
    <mergeCell ref="A17:G17"/>
    <mergeCell ref="A18:G18"/>
    <mergeCell ref="A19:G19"/>
    <mergeCell ref="A20:G20"/>
    <mergeCell ref="A13:G13"/>
    <mergeCell ref="A12:G12"/>
    <mergeCell ref="A7:G7"/>
    <mergeCell ref="A25:G25"/>
    <mergeCell ref="A2:G2"/>
    <mergeCell ref="A3:G3"/>
    <mergeCell ref="A4:G4"/>
    <mergeCell ref="A5:G5"/>
    <mergeCell ref="A8:G8"/>
  </mergeCells>
  <hyperlinks>
    <hyperlink ref="A18" r:id="rId1" display="http://www.sfenvironment.org/cgi-bin/bin/user/advanced_query.pl"/>
    <hyperlink ref="A23" r:id="rId2" display="http://www.mbayaq.org/cr/cr_seafoodwatch/download.asp"/>
    <hyperlink ref="A26" r:id="rId3" display="http://www.epa.gov/cfl/cflcleanup.html"/>
  </hyperlinks>
  <printOptions headings="1"/>
  <pageMargins left="0.75" right="0.75" top="0.74" bottom="0.74" header="0.5" footer="0.5"/>
  <pageSetup fitToHeight="1" fitToWidth="1" orientation="portrait" scale="87" r:id="rId4"/>
</worksheet>
</file>

<file path=xl/worksheets/sheet17.xml><?xml version="1.0" encoding="utf-8"?>
<worksheet xmlns="http://schemas.openxmlformats.org/spreadsheetml/2006/main" xmlns:r="http://schemas.openxmlformats.org/officeDocument/2006/relationships">
  <sheetPr codeName="Sheet34">
    <tabColor rgb="FFAD470F"/>
    <pageSetUpPr fitToPage="1"/>
  </sheetPr>
  <dimension ref="A1:Y42"/>
  <sheetViews>
    <sheetView zoomScalePageLayoutView="0" workbookViewId="0" topLeftCell="A1">
      <selection activeCell="A2" sqref="A2"/>
    </sheetView>
  </sheetViews>
  <sheetFormatPr defaultColWidth="11.421875" defaultRowHeight="12.75"/>
  <cols>
    <col min="1" max="16384" width="11.421875" style="169" customWidth="1"/>
  </cols>
  <sheetData>
    <row r="1" ht="15.75">
      <c r="A1" s="342" t="s">
        <v>427</v>
      </c>
    </row>
    <row r="2" ht="12.75">
      <c r="A2" s="400" t="s">
        <v>916</v>
      </c>
    </row>
    <row r="3" spans="1:13" ht="42" customHeight="1">
      <c r="A3" s="1310" t="s">
        <v>426</v>
      </c>
      <c r="B3" s="1310"/>
      <c r="C3" s="1310"/>
      <c r="D3" s="1310"/>
      <c r="E3" s="1310"/>
      <c r="F3" s="1310"/>
      <c r="G3" s="1310"/>
      <c r="H3" s="1310"/>
      <c r="I3" s="1310"/>
      <c r="J3" s="1310"/>
      <c r="K3" s="1310"/>
      <c r="L3" s="1310"/>
      <c r="M3" s="1310"/>
    </row>
    <row r="4" spans="1:13" ht="28.5" customHeight="1">
      <c r="A4" s="1310" t="s">
        <v>425</v>
      </c>
      <c r="B4" s="1310"/>
      <c r="C4" s="1310"/>
      <c r="D4" s="1310"/>
      <c r="E4" s="1310"/>
      <c r="F4" s="1310"/>
      <c r="G4" s="1310"/>
      <c r="H4" s="1310"/>
      <c r="I4" s="1310"/>
      <c r="J4" s="1310"/>
      <c r="K4" s="1310"/>
      <c r="L4" s="1310"/>
      <c r="M4" s="1310"/>
    </row>
    <row r="5" spans="1:13" ht="28.5" customHeight="1">
      <c r="A5" s="1310" t="s">
        <v>424</v>
      </c>
      <c r="B5" s="1310"/>
      <c r="C5" s="1310"/>
      <c r="D5" s="1310"/>
      <c r="E5" s="1310"/>
      <c r="F5" s="1310"/>
      <c r="G5" s="1310"/>
      <c r="H5" s="1310"/>
      <c r="I5" s="1310"/>
      <c r="J5" s="1310"/>
      <c r="K5" s="1310"/>
      <c r="L5" s="1310"/>
      <c r="M5" s="1310"/>
    </row>
    <row r="6" spans="1:13" ht="28.5" customHeight="1">
      <c r="A6" s="1310" t="s">
        <v>423</v>
      </c>
      <c r="B6" s="1310"/>
      <c r="C6" s="1310"/>
      <c r="D6" s="1310"/>
      <c r="E6" s="1310"/>
      <c r="F6" s="1310"/>
      <c r="G6" s="1310"/>
      <c r="H6" s="1310"/>
      <c r="I6" s="1310"/>
      <c r="J6" s="1310"/>
      <c r="K6" s="1310"/>
      <c r="L6" s="1310"/>
      <c r="M6" s="1310"/>
    </row>
    <row r="7" spans="1:13" ht="28.5" customHeight="1">
      <c r="A7" s="1313" t="s">
        <v>422</v>
      </c>
      <c r="B7" s="1313"/>
      <c r="C7" s="1313"/>
      <c r="D7" s="1313"/>
      <c r="E7" s="1313"/>
      <c r="F7" s="1313"/>
      <c r="G7" s="1313"/>
      <c r="H7" s="1313"/>
      <c r="I7" s="1313"/>
      <c r="J7" s="1313"/>
      <c r="K7" s="1313"/>
      <c r="L7" s="1313"/>
      <c r="M7" s="1313"/>
    </row>
    <row r="8" spans="1:13" ht="39.75" customHeight="1">
      <c r="A8" s="1313" t="s">
        <v>421</v>
      </c>
      <c r="B8" s="1313"/>
      <c r="C8" s="1313"/>
      <c r="D8" s="1313"/>
      <c r="E8" s="1313"/>
      <c r="F8" s="1313"/>
      <c r="G8" s="1313"/>
      <c r="H8" s="1313"/>
      <c r="I8" s="1313"/>
      <c r="J8" s="1313"/>
      <c r="K8" s="1313"/>
      <c r="L8" s="1313"/>
      <c r="M8" s="1313"/>
    </row>
    <row r="9" spans="1:22" ht="12.75" customHeight="1">
      <c r="A9" s="837"/>
      <c r="B9" s="311"/>
      <c r="C9" s="311"/>
      <c r="D9" s="311"/>
      <c r="E9" s="311"/>
      <c r="F9" s="311"/>
      <c r="G9" s="311"/>
      <c r="H9" s="311"/>
      <c r="I9" s="311"/>
      <c r="J9" s="836"/>
      <c r="K9" s="836"/>
      <c r="L9" s="812"/>
      <c r="M9" s="812"/>
      <c r="N9" s="812"/>
      <c r="O9" s="812"/>
      <c r="P9" s="812"/>
      <c r="Q9" s="812"/>
      <c r="R9" s="812"/>
      <c r="S9" s="812"/>
      <c r="T9" s="812"/>
      <c r="U9" s="812"/>
      <c r="V9" s="812"/>
    </row>
    <row r="10" ht="12.75">
      <c r="A10" s="835" t="s">
        <v>420</v>
      </c>
    </row>
    <row r="11" spans="1:25" ht="90" customHeight="1">
      <c r="A11" s="823"/>
      <c r="B11" s="602" t="s">
        <v>319</v>
      </c>
      <c r="C11" s="602" t="s">
        <v>318</v>
      </c>
      <c r="D11" s="602" t="s">
        <v>317</v>
      </c>
      <c r="E11" s="602" t="s">
        <v>316</v>
      </c>
      <c r="F11" s="602" t="s">
        <v>315</v>
      </c>
      <c r="G11" s="602" t="s">
        <v>314</v>
      </c>
      <c r="H11" s="602" t="s">
        <v>313</v>
      </c>
      <c r="I11" s="602" t="s">
        <v>312</v>
      </c>
      <c r="J11" s="602" t="s">
        <v>311</v>
      </c>
      <c r="K11" s="602" t="s">
        <v>310</v>
      </c>
      <c r="L11" s="821" t="s">
        <v>309</v>
      </c>
      <c r="M11" s="820" t="s">
        <v>308</v>
      </c>
      <c r="N11" s="834" t="s">
        <v>419</v>
      </c>
      <c r="O11" s="834"/>
      <c r="P11" s="834"/>
      <c r="Q11" s="834"/>
      <c r="R11" s="834"/>
      <c r="S11" s="834"/>
      <c r="T11" s="834"/>
      <c r="U11" s="834"/>
      <c r="V11" s="834"/>
      <c r="W11" s="834"/>
      <c r="X11" s="834"/>
      <c r="Y11" s="834"/>
    </row>
    <row r="12" spans="1:14" ht="12.75">
      <c r="A12" s="833" t="s">
        <v>418</v>
      </c>
      <c r="B12" s="446">
        <f>16*12</f>
        <v>192</v>
      </c>
      <c r="C12" s="446">
        <v>16</v>
      </c>
      <c r="D12" s="446">
        <v>75</v>
      </c>
      <c r="E12" s="446"/>
      <c r="F12" s="446">
        <v>16</v>
      </c>
      <c r="G12" s="446">
        <v>4</v>
      </c>
      <c r="H12" s="446">
        <v>3</v>
      </c>
      <c r="I12" s="446"/>
      <c r="J12" s="446"/>
      <c r="K12" s="446"/>
      <c r="L12" s="818"/>
      <c r="M12" s="445"/>
      <c r="N12" s="299">
        <f aca="true" t="shared" si="0" ref="N12:N17">SUM(B12:M12)</f>
        <v>306</v>
      </c>
    </row>
    <row r="13" spans="1:14" ht="12.75">
      <c r="A13" s="833" t="s">
        <v>417</v>
      </c>
      <c r="B13" s="446"/>
      <c r="C13" s="446"/>
      <c r="D13" s="446"/>
      <c r="E13" s="446"/>
      <c r="F13" s="446"/>
      <c r="G13" s="446"/>
      <c r="H13" s="446"/>
      <c r="I13" s="446"/>
      <c r="J13" s="446"/>
      <c r="K13" s="446"/>
      <c r="L13" s="818"/>
      <c r="M13" s="445"/>
      <c r="N13" s="299">
        <f t="shared" si="0"/>
        <v>0</v>
      </c>
    </row>
    <row r="14" spans="1:14" ht="12.75">
      <c r="A14" s="833" t="s">
        <v>416</v>
      </c>
      <c r="B14" s="446"/>
      <c r="C14" s="446"/>
      <c r="D14" s="446"/>
      <c r="E14" s="446"/>
      <c r="F14" s="446"/>
      <c r="G14" s="446"/>
      <c r="H14" s="446"/>
      <c r="I14" s="446"/>
      <c r="J14" s="446"/>
      <c r="K14" s="446"/>
      <c r="L14" s="818"/>
      <c r="M14" s="445"/>
      <c r="N14" s="299">
        <f t="shared" si="0"/>
        <v>0</v>
      </c>
    </row>
    <row r="15" spans="1:14" ht="12.75">
      <c r="A15" s="833" t="s">
        <v>415</v>
      </c>
      <c r="B15" s="446"/>
      <c r="C15" s="446"/>
      <c r="D15" s="446"/>
      <c r="E15" s="446"/>
      <c r="F15" s="446"/>
      <c r="G15" s="446"/>
      <c r="H15" s="446"/>
      <c r="I15" s="446"/>
      <c r="J15" s="446"/>
      <c r="K15" s="446"/>
      <c r="L15" s="818"/>
      <c r="M15" s="445"/>
      <c r="N15" s="299">
        <f t="shared" si="0"/>
        <v>0</v>
      </c>
    </row>
    <row r="16" spans="1:14" ht="12.75">
      <c r="A16" s="833" t="s">
        <v>414</v>
      </c>
      <c r="B16" s="446"/>
      <c r="C16" s="446"/>
      <c r="D16" s="446"/>
      <c r="E16" s="446"/>
      <c r="F16" s="446"/>
      <c r="G16" s="446"/>
      <c r="H16" s="446"/>
      <c r="I16" s="446"/>
      <c r="J16" s="446"/>
      <c r="K16" s="446"/>
      <c r="L16" s="818"/>
      <c r="M16" s="445"/>
      <c r="N16" s="299">
        <f t="shared" si="0"/>
        <v>0</v>
      </c>
    </row>
    <row r="17" spans="1:15" ht="38.25">
      <c r="A17" s="819" t="s">
        <v>413</v>
      </c>
      <c r="B17" s="832">
        <f aca="true" t="shared" si="1" ref="B17:M17">SUM(B12:B16)</f>
        <v>192</v>
      </c>
      <c r="C17" s="832">
        <f t="shared" si="1"/>
        <v>16</v>
      </c>
      <c r="D17" s="832">
        <f t="shared" si="1"/>
        <v>75</v>
      </c>
      <c r="E17" s="832">
        <f t="shared" si="1"/>
        <v>0</v>
      </c>
      <c r="F17" s="832">
        <f t="shared" si="1"/>
        <v>16</v>
      </c>
      <c r="G17" s="832">
        <f t="shared" si="1"/>
        <v>4</v>
      </c>
      <c r="H17" s="832">
        <f t="shared" si="1"/>
        <v>3</v>
      </c>
      <c r="I17" s="832">
        <f t="shared" si="1"/>
        <v>0</v>
      </c>
      <c r="J17" s="832">
        <f t="shared" si="1"/>
        <v>0</v>
      </c>
      <c r="K17" s="832">
        <f t="shared" si="1"/>
        <v>0</v>
      </c>
      <c r="L17" s="832">
        <f t="shared" si="1"/>
        <v>0</v>
      </c>
      <c r="M17" s="831">
        <f t="shared" si="1"/>
        <v>0</v>
      </c>
      <c r="N17" s="299">
        <f t="shared" si="0"/>
        <v>306</v>
      </c>
      <c r="O17" s="298" t="s">
        <v>412</v>
      </c>
    </row>
    <row r="18" spans="1:13" ht="25.5">
      <c r="A18" s="830" t="s">
        <v>305</v>
      </c>
      <c r="B18" s="829">
        <f aca="true" t="shared" si="2" ref="B18:M18">B17/$N$17</f>
        <v>0.6274509803921569</v>
      </c>
      <c r="C18" s="829">
        <f t="shared" si="2"/>
        <v>0.05228758169934641</v>
      </c>
      <c r="D18" s="829">
        <f t="shared" si="2"/>
        <v>0.24509803921568626</v>
      </c>
      <c r="E18" s="829">
        <f t="shared" si="2"/>
        <v>0</v>
      </c>
      <c r="F18" s="829">
        <f t="shared" si="2"/>
        <v>0.05228758169934641</v>
      </c>
      <c r="G18" s="829">
        <f t="shared" si="2"/>
        <v>0.013071895424836602</v>
      </c>
      <c r="H18" s="829">
        <f t="shared" si="2"/>
        <v>0.00980392156862745</v>
      </c>
      <c r="I18" s="829">
        <f t="shared" si="2"/>
        <v>0</v>
      </c>
      <c r="J18" s="829">
        <f t="shared" si="2"/>
        <v>0</v>
      </c>
      <c r="K18" s="829">
        <f t="shared" si="2"/>
        <v>0</v>
      </c>
      <c r="L18" s="829">
        <f t="shared" si="2"/>
        <v>0</v>
      </c>
      <c r="M18" s="828">
        <f t="shared" si="2"/>
        <v>0</v>
      </c>
    </row>
    <row r="19" spans="1:13" ht="38.25">
      <c r="A19" s="814" t="s">
        <v>304</v>
      </c>
      <c r="B19" s="813"/>
      <c r="C19" s="813">
        <f aca="true" t="shared" si="3" ref="C19:M19">C17/SUM($C17:$M17)</f>
        <v>0.14035087719298245</v>
      </c>
      <c r="D19" s="813">
        <f t="shared" si="3"/>
        <v>0.6578947368421053</v>
      </c>
      <c r="E19" s="813">
        <f t="shared" si="3"/>
        <v>0</v>
      </c>
      <c r="F19" s="813">
        <f t="shared" si="3"/>
        <v>0.14035087719298245</v>
      </c>
      <c r="G19" s="813">
        <f t="shared" si="3"/>
        <v>0.03508771929824561</v>
      </c>
      <c r="H19" s="813">
        <f t="shared" si="3"/>
        <v>0.02631578947368421</v>
      </c>
      <c r="I19" s="813">
        <f t="shared" si="3"/>
        <v>0</v>
      </c>
      <c r="J19" s="813">
        <f t="shared" si="3"/>
        <v>0</v>
      </c>
      <c r="K19" s="813">
        <f t="shared" si="3"/>
        <v>0</v>
      </c>
      <c r="L19" s="813">
        <f t="shared" si="3"/>
        <v>0</v>
      </c>
      <c r="M19" s="813">
        <f t="shared" si="3"/>
        <v>0</v>
      </c>
    </row>
    <row r="20" spans="1:13" ht="12.75">
      <c r="A20" s="791"/>
      <c r="B20" s="825"/>
      <c r="C20" s="825"/>
      <c r="D20" s="825"/>
      <c r="E20" s="825"/>
      <c r="F20" s="825"/>
      <c r="G20" s="825"/>
      <c r="H20" s="825"/>
      <c r="I20" s="825"/>
      <c r="J20" s="825"/>
      <c r="K20" s="825"/>
      <c r="L20" s="825"/>
      <c r="M20" s="825"/>
    </row>
    <row r="21" spans="1:13" ht="12.75">
      <c r="A21" s="812" t="s">
        <v>411</v>
      </c>
      <c r="B21" s="825"/>
      <c r="C21" s="825"/>
      <c r="D21" s="825"/>
      <c r="E21" s="825"/>
      <c r="F21" s="825"/>
      <c r="G21" s="825"/>
      <c r="H21" s="825"/>
      <c r="I21" s="825"/>
      <c r="J21" s="825"/>
      <c r="K21" s="825"/>
      <c r="L21" s="825"/>
      <c r="M21" s="825"/>
    </row>
    <row r="22" spans="1:13" ht="12.75">
      <c r="A22" s="827" t="s">
        <v>410</v>
      </c>
      <c r="B22" s="825"/>
      <c r="C22" s="825"/>
      <c r="D22" s="825"/>
      <c r="E22" s="825"/>
      <c r="F22" s="825"/>
      <c r="G22" s="825"/>
      <c r="H22" s="825"/>
      <c r="I22" s="825"/>
      <c r="J22" s="825"/>
      <c r="K22" s="825"/>
      <c r="L22" s="825"/>
      <c r="M22" s="825"/>
    </row>
    <row r="23" spans="1:13" ht="12.75">
      <c r="A23" s="827" t="s">
        <v>409</v>
      </c>
      <c r="B23" s="825"/>
      <c r="C23" s="825"/>
      <c r="D23" s="825"/>
      <c r="E23" s="825"/>
      <c r="F23" s="825"/>
      <c r="G23" s="825"/>
      <c r="H23" s="825"/>
      <c r="I23" s="825"/>
      <c r="J23" s="825"/>
      <c r="K23" s="825"/>
      <c r="L23" s="825"/>
      <c r="M23" s="825"/>
    </row>
    <row r="24" spans="1:13" ht="12.75">
      <c r="A24" s="827" t="s">
        <v>408</v>
      </c>
      <c r="B24" s="825"/>
      <c r="C24" s="825"/>
      <c r="D24" s="825"/>
      <c r="E24" s="825"/>
      <c r="F24" s="825"/>
      <c r="G24" s="825"/>
      <c r="H24" s="825"/>
      <c r="I24" s="825"/>
      <c r="J24" s="825"/>
      <c r="K24" s="825"/>
      <c r="L24" s="825"/>
      <c r="M24" s="825"/>
    </row>
    <row r="25" spans="1:13" ht="12.75">
      <c r="A25" s="827" t="s">
        <v>407</v>
      </c>
      <c r="B25" s="825"/>
      <c r="C25" s="825"/>
      <c r="D25" s="825"/>
      <c r="E25" s="825"/>
      <c r="F25" s="825"/>
      <c r="G25" s="825"/>
      <c r="H25" s="825"/>
      <c r="I25" s="825"/>
      <c r="J25" s="825"/>
      <c r="K25" s="825"/>
      <c r="L25" s="825"/>
      <c r="M25" s="825"/>
    </row>
    <row r="26" spans="1:13" ht="12.75">
      <c r="A26" s="827" t="s">
        <v>406</v>
      </c>
      <c r="B26" s="825"/>
      <c r="C26" s="825"/>
      <c r="D26" s="825"/>
      <c r="E26" s="825"/>
      <c r="F26" s="825"/>
      <c r="G26" s="825"/>
      <c r="H26" s="825"/>
      <c r="I26" s="825"/>
      <c r="J26" s="825"/>
      <c r="K26" s="825"/>
      <c r="L26" s="825"/>
      <c r="M26" s="825"/>
    </row>
    <row r="27" spans="1:13" ht="12.75">
      <c r="A27" s="791"/>
      <c r="B27" s="825"/>
      <c r="C27" s="825"/>
      <c r="D27" s="825"/>
      <c r="E27" s="825"/>
      <c r="F27" s="825"/>
      <c r="G27" s="825"/>
      <c r="H27" s="825"/>
      <c r="I27" s="825"/>
      <c r="J27" s="825"/>
      <c r="K27" s="825"/>
      <c r="L27" s="825"/>
      <c r="M27" s="825"/>
    </row>
    <row r="28" spans="1:13" ht="12.75">
      <c r="A28" s="826" t="s">
        <v>405</v>
      </c>
      <c r="B28" s="825"/>
      <c r="C28" s="825"/>
      <c r="D28" s="825"/>
      <c r="E28" s="825"/>
      <c r="F28" s="825"/>
      <c r="G28" s="825"/>
      <c r="H28" s="825"/>
      <c r="I28" s="825"/>
      <c r="J28" s="825"/>
      <c r="K28" s="825"/>
      <c r="L28" s="825"/>
      <c r="M28" s="825"/>
    </row>
    <row r="29" spans="1:13" ht="12.75">
      <c r="A29" s="812" t="s">
        <v>404</v>
      </c>
      <c r="B29" s="825"/>
      <c r="C29" s="825"/>
      <c r="D29" s="825"/>
      <c r="E29" s="825"/>
      <c r="F29" s="825"/>
      <c r="G29" s="825"/>
      <c r="H29" s="825"/>
      <c r="I29" s="825"/>
      <c r="J29" s="825"/>
      <c r="K29" s="825"/>
      <c r="L29" s="825"/>
      <c r="M29" s="825"/>
    </row>
    <row r="30" spans="1:13" ht="12.75">
      <c r="A30" s="824" t="s">
        <v>320</v>
      </c>
      <c r="B30" s="793"/>
      <c r="C30" s="793"/>
      <c r="D30" s="793"/>
      <c r="E30" s="793"/>
      <c r="F30" s="793"/>
      <c r="G30" s="793"/>
      <c r="H30" s="793"/>
      <c r="I30" s="793"/>
      <c r="J30" s="793"/>
      <c r="K30" s="793"/>
      <c r="L30" s="793"/>
      <c r="M30" s="793"/>
    </row>
    <row r="31" spans="1:14" ht="38.25">
      <c r="A31" s="823"/>
      <c r="B31" s="822" t="s">
        <v>319</v>
      </c>
      <c r="C31" s="822" t="s">
        <v>318</v>
      </c>
      <c r="D31" s="822" t="s">
        <v>317</v>
      </c>
      <c r="E31" s="822" t="s">
        <v>316</v>
      </c>
      <c r="F31" s="822" t="s">
        <v>315</v>
      </c>
      <c r="G31" s="822" t="s">
        <v>314</v>
      </c>
      <c r="H31" s="602" t="s">
        <v>313</v>
      </c>
      <c r="I31" s="822" t="s">
        <v>312</v>
      </c>
      <c r="J31" s="822" t="s">
        <v>311</v>
      </c>
      <c r="K31" s="822" t="s">
        <v>310</v>
      </c>
      <c r="L31" s="821" t="s">
        <v>309</v>
      </c>
      <c r="M31" s="820" t="s">
        <v>308</v>
      </c>
      <c r="N31" s="301" t="s">
        <v>307</v>
      </c>
    </row>
    <row r="32" spans="1:14" ht="38.25">
      <c r="A32" s="819" t="s">
        <v>306</v>
      </c>
      <c r="B32" s="446">
        <v>50</v>
      </c>
      <c r="C32" s="446">
        <v>9</v>
      </c>
      <c r="D32" s="446"/>
      <c r="E32" s="446"/>
      <c r="F32" s="446">
        <v>75</v>
      </c>
      <c r="G32" s="446"/>
      <c r="H32" s="446"/>
      <c r="I32" s="446"/>
      <c r="J32" s="446"/>
      <c r="K32" s="446"/>
      <c r="L32" s="818">
        <v>4</v>
      </c>
      <c r="M32" s="445">
        <v>116</v>
      </c>
      <c r="N32" s="169">
        <f>SUM(B32:M32)</f>
        <v>254</v>
      </c>
    </row>
    <row r="33" spans="1:13" ht="25.5">
      <c r="A33" s="817" t="s">
        <v>305</v>
      </c>
      <c r="B33" s="816">
        <f aca="true" t="shared" si="4" ref="B33:M33">B32/$N$32</f>
        <v>0.1968503937007874</v>
      </c>
      <c r="C33" s="816">
        <f t="shared" si="4"/>
        <v>0.03543307086614173</v>
      </c>
      <c r="D33" s="816">
        <f t="shared" si="4"/>
        <v>0</v>
      </c>
      <c r="E33" s="816">
        <f t="shared" si="4"/>
        <v>0</v>
      </c>
      <c r="F33" s="816">
        <f t="shared" si="4"/>
        <v>0.2952755905511811</v>
      </c>
      <c r="G33" s="816">
        <f t="shared" si="4"/>
        <v>0</v>
      </c>
      <c r="H33" s="816">
        <f t="shared" si="4"/>
        <v>0</v>
      </c>
      <c r="I33" s="816">
        <f t="shared" si="4"/>
        <v>0</v>
      </c>
      <c r="J33" s="816">
        <f t="shared" si="4"/>
        <v>0</v>
      </c>
      <c r="K33" s="816">
        <f t="shared" si="4"/>
        <v>0</v>
      </c>
      <c r="L33" s="816">
        <f t="shared" si="4"/>
        <v>0.015748031496062992</v>
      </c>
      <c r="M33" s="815">
        <f t="shared" si="4"/>
        <v>0.4566929133858268</v>
      </c>
    </row>
    <row r="34" spans="1:13" ht="38.25">
      <c r="A34" s="814" t="s">
        <v>304</v>
      </c>
      <c r="C34" s="813">
        <f aca="true" t="shared" si="5" ref="C34:M34">C32/SUM($C32:$M32)</f>
        <v>0.04411764705882353</v>
      </c>
      <c r="D34" s="813">
        <f t="shared" si="5"/>
        <v>0</v>
      </c>
      <c r="E34" s="813">
        <f t="shared" si="5"/>
        <v>0</v>
      </c>
      <c r="F34" s="813">
        <f t="shared" si="5"/>
        <v>0.36764705882352944</v>
      </c>
      <c r="G34" s="813">
        <f t="shared" si="5"/>
        <v>0</v>
      </c>
      <c r="H34" s="813">
        <f t="shared" si="5"/>
        <v>0</v>
      </c>
      <c r="I34" s="813">
        <f t="shared" si="5"/>
        <v>0</v>
      </c>
      <c r="J34" s="813">
        <f t="shared" si="5"/>
        <v>0</v>
      </c>
      <c r="K34" s="813">
        <f t="shared" si="5"/>
        <v>0</v>
      </c>
      <c r="L34" s="813">
        <f t="shared" si="5"/>
        <v>0.0196078431372549</v>
      </c>
      <c r="M34" s="813">
        <f t="shared" si="5"/>
        <v>0.5686274509803921</v>
      </c>
    </row>
    <row r="36" ht="12.75">
      <c r="A36" s="812" t="s">
        <v>303</v>
      </c>
    </row>
    <row r="37" spans="1:13" ht="33.75" customHeight="1">
      <c r="A37" s="1312" t="s">
        <v>302</v>
      </c>
      <c r="B37" s="1312"/>
      <c r="C37" s="1312"/>
      <c r="D37" s="1312"/>
      <c r="E37" s="1312"/>
      <c r="F37" s="1312"/>
      <c r="G37" s="1312"/>
      <c r="H37" s="1312"/>
      <c r="I37" s="1312"/>
      <c r="J37" s="1312"/>
      <c r="K37" s="1312"/>
      <c r="L37" s="1312"/>
      <c r="M37" s="1312"/>
    </row>
    <row r="38" spans="1:13" ht="18" customHeight="1">
      <c r="A38" s="1312" t="s">
        <v>301</v>
      </c>
      <c r="B38" s="1312"/>
      <c r="C38" s="1312"/>
      <c r="D38" s="1312"/>
      <c r="E38" s="1312"/>
      <c r="F38" s="1312"/>
      <c r="G38" s="1312"/>
      <c r="H38" s="1312"/>
      <c r="I38" s="1312"/>
      <c r="J38" s="1312"/>
      <c r="K38" s="1312"/>
      <c r="L38" s="1312"/>
      <c r="M38" s="1312"/>
    </row>
    <row r="39" spans="1:13" ht="12.75">
      <c r="A39" s="1312" t="s">
        <v>300</v>
      </c>
      <c r="B39" s="1312"/>
      <c r="C39" s="1312"/>
      <c r="D39" s="1312"/>
      <c r="E39" s="1312"/>
      <c r="F39" s="1312"/>
      <c r="G39" s="1312"/>
      <c r="H39" s="1312"/>
      <c r="I39" s="1312"/>
      <c r="J39" s="1312"/>
      <c r="K39" s="1312"/>
      <c r="L39" s="1312"/>
      <c r="M39" s="1312"/>
    </row>
    <row r="40" spans="1:13" ht="67.5" customHeight="1">
      <c r="A40" s="1312" t="s">
        <v>299</v>
      </c>
      <c r="B40" s="1312"/>
      <c r="C40" s="1312"/>
      <c r="D40" s="1312"/>
      <c r="E40" s="1312"/>
      <c r="F40" s="1312"/>
      <c r="G40" s="1312"/>
      <c r="H40" s="1312"/>
      <c r="I40" s="1312"/>
      <c r="J40" s="1312"/>
      <c r="K40" s="1312"/>
      <c r="L40" s="1312"/>
      <c r="M40" s="1312"/>
    </row>
    <row r="41" spans="1:13" ht="18" customHeight="1">
      <c r="A41" s="812" t="s">
        <v>298</v>
      </c>
      <c r="B41" s="812"/>
      <c r="C41" s="400" t="s">
        <v>297</v>
      </c>
      <c r="D41" s="812"/>
      <c r="E41" s="812"/>
      <c r="F41" s="812"/>
      <c r="G41" s="812"/>
      <c r="H41" s="812"/>
      <c r="I41" s="812"/>
      <c r="J41" s="812"/>
      <c r="K41" s="812"/>
      <c r="L41" s="812"/>
      <c r="M41" s="812"/>
    </row>
    <row r="42" spans="1:13" ht="18">
      <c r="A42" s="1311"/>
      <c r="B42" s="1311"/>
      <c r="C42" s="1311"/>
      <c r="D42" s="1311"/>
      <c r="E42" s="1311"/>
      <c r="F42" s="1311"/>
      <c r="G42" s="1311"/>
      <c r="H42" s="1311"/>
      <c r="I42" s="1311"/>
      <c r="J42" s="1311"/>
      <c r="K42" s="1311"/>
      <c r="L42" s="1311"/>
      <c r="M42" s="1311"/>
    </row>
  </sheetData>
  <sheetProtection/>
  <mergeCells count="11">
    <mergeCell ref="A4:M4"/>
    <mergeCell ref="A5:M5"/>
    <mergeCell ref="A42:M42"/>
    <mergeCell ref="A40:M40"/>
    <mergeCell ref="A3:M3"/>
    <mergeCell ref="A37:M37"/>
    <mergeCell ref="A38:M38"/>
    <mergeCell ref="A39:M39"/>
    <mergeCell ref="A6:M6"/>
    <mergeCell ref="A7:M7"/>
    <mergeCell ref="A8:M8"/>
  </mergeCells>
  <hyperlinks>
    <hyperlink ref="C41" r:id="rId1" display="http://5gyres.org/"/>
    <hyperlink ref="A2" location="'Table of Contents'!A1" display="TOC"/>
  </hyperlinks>
  <printOptions headings="1"/>
  <pageMargins left="0.5" right="0.5" top="1" bottom="1" header="0.5" footer="0.5"/>
  <pageSetup fitToHeight="1" fitToWidth="1" orientation="portrait" paperSize="3" scale="73" r:id="rId3"/>
  <drawing r:id="rId2"/>
</worksheet>
</file>

<file path=xl/worksheets/sheet18.xml><?xml version="1.0" encoding="utf-8"?>
<worksheet xmlns="http://schemas.openxmlformats.org/spreadsheetml/2006/main" xmlns:r="http://schemas.openxmlformats.org/officeDocument/2006/relationships">
  <sheetPr codeName="Sheet35">
    <tabColor rgb="FFAD470F"/>
    <pageSetUpPr fitToPage="1"/>
  </sheetPr>
  <dimension ref="A1:J47"/>
  <sheetViews>
    <sheetView zoomScalePageLayoutView="0" workbookViewId="0" topLeftCell="A1">
      <selection activeCell="A1" sqref="A1"/>
    </sheetView>
  </sheetViews>
  <sheetFormatPr defaultColWidth="11.421875" defaultRowHeight="12.75"/>
  <cols>
    <col min="1" max="10" width="14.140625" style="169" customWidth="1"/>
    <col min="11" max="16384" width="11.421875" style="169" customWidth="1"/>
  </cols>
  <sheetData>
    <row r="1" ht="15.75">
      <c r="A1" s="342" t="s">
        <v>951</v>
      </c>
    </row>
    <row r="3" spans="1:6" ht="27" customHeight="1">
      <c r="A3" s="1222" t="s">
        <v>950</v>
      </c>
      <c r="B3" s="1222"/>
      <c r="C3" s="1222"/>
      <c r="D3" s="1222"/>
      <c r="E3" s="1222"/>
      <c r="F3" s="1222"/>
    </row>
    <row r="4" spans="1:6" ht="54" customHeight="1">
      <c r="A4" s="1218" t="s">
        <v>451</v>
      </c>
      <c r="B4" s="1222"/>
      <c r="C4" s="1222"/>
      <c r="D4" s="1222"/>
      <c r="E4" s="1222"/>
      <c r="F4" s="1222"/>
    </row>
    <row r="5" spans="1:8" ht="14.25" customHeight="1">
      <c r="A5" s="324"/>
      <c r="B5" s="299"/>
      <c r="C5" s="299"/>
      <c r="D5" s="299"/>
      <c r="E5" s="299"/>
      <c r="F5" s="299"/>
      <c r="H5" s="457"/>
    </row>
    <row r="6" spans="2:8" ht="12.75" customHeight="1">
      <c r="B6" s="1135">
        <f>'Basic School Info'!B7</f>
        <v>11000</v>
      </c>
      <c r="C6" s="169" t="s">
        <v>341</v>
      </c>
      <c r="F6" s="299"/>
      <c r="H6" s="458"/>
    </row>
    <row r="7" spans="1:8" ht="12" customHeight="1">
      <c r="A7" s="788"/>
      <c r="B7" s="1136" t="str">
        <f>'Basic School Info'!B5</f>
        <v>Elementary</v>
      </c>
      <c r="C7" s="169" t="s">
        <v>342</v>
      </c>
      <c r="D7" s="173"/>
      <c r="E7" s="173"/>
      <c r="F7" s="299"/>
      <c r="H7" s="458"/>
    </row>
    <row r="8" spans="2:6" ht="14.25" customHeight="1">
      <c r="B8" s="1135">
        <f>'Basic School Info'!B6</f>
        <v>400</v>
      </c>
      <c r="C8" s="169" t="s">
        <v>340</v>
      </c>
      <c r="F8" s="299"/>
    </row>
    <row r="9" spans="1:6" ht="15" customHeight="1">
      <c r="A9" s="324"/>
      <c r="B9" s="299"/>
      <c r="C9" s="299"/>
      <c r="D9" s="299"/>
      <c r="E9" s="299"/>
      <c r="F9" s="299"/>
    </row>
    <row r="10" spans="3:10" ht="16.5" customHeight="1">
      <c r="C10" s="1314" t="s">
        <v>450</v>
      </c>
      <c r="D10" s="1315"/>
      <c r="E10" s="1315"/>
      <c r="F10" s="1315"/>
      <c r="G10" s="1315"/>
      <c r="H10" s="1315"/>
      <c r="I10" s="1315"/>
      <c r="J10" s="1316"/>
    </row>
    <row r="11" spans="1:10" s="296" customFormat="1" ht="63.75">
      <c r="A11" s="853" t="s">
        <v>449</v>
      </c>
      <c r="B11" s="854" t="s">
        <v>448</v>
      </c>
      <c r="C11" s="853" t="s">
        <v>447</v>
      </c>
      <c r="D11" s="854" t="s">
        <v>334</v>
      </c>
      <c r="E11" s="853" t="s">
        <v>446</v>
      </c>
      <c r="F11" s="854" t="s">
        <v>334</v>
      </c>
      <c r="G11" s="855" t="s">
        <v>445</v>
      </c>
      <c r="H11" s="854" t="s">
        <v>334</v>
      </c>
      <c r="I11" s="853" t="s">
        <v>444</v>
      </c>
      <c r="J11" s="854" t="s">
        <v>334</v>
      </c>
    </row>
    <row r="12" spans="1:10" ht="25.5">
      <c r="A12" s="452" t="s">
        <v>345</v>
      </c>
      <c r="B12" s="852" t="s">
        <v>439</v>
      </c>
      <c r="C12" s="606" t="s">
        <v>436</v>
      </c>
      <c r="D12" s="849" t="s">
        <v>440</v>
      </c>
      <c r="E12" s="850" t="s">
        <v>435</v>
      </c>
      <c r="F12" s="851" t="s">
        <v>429</v>
      </c>
      <c r="G12" s="606"/>
      <c r="H12" s="849"/>
      <c r="I12" s="850"/>
      <c r="J12" s="849"/>
    </row>
    <row r="13" spans="1:10" ht="38.25">
      <c r="A13" s="452" t="s">
        <v>346</v>
      </c>
      <c r="B13" s="847" t="s">
        <v>439</v>
      </c>
      <c r="C13" s="845" t="s">
        <v>442</v>
      </c>
      <c r="D13" s="843" t="s">
        <v>440</v>
      </c>
      <c r="E13" s="844" t="s">
        <v>441</v>
      </c>
      <c r="F13" s="846" t="s">
        <v>440</v>
      </c>
      <c r="G13" s="845" t="s">
        <v>430</v>
      </c>
      <c r="H13" s="843" t="s">
        <v>440</v>
      </c>
      <c r="I13" s="844" t="s">
        <v>430</v>
      </c>
      <c r="J13" s="843" t="s">
        <v>440</v>
      </c>
    </row>
    <row r="14" spans="1:10" ht="38.25">
      <c r="A14" s="452" t="s">
        <v>347</v>
      </c>
      <c r="B14" s="847" t="s">
        <v>439</v>
      </c>
      <c r="C14" s="845" t="s">
        <v>438</v>
      </c>
      <c r="D14" s="843"/>
      <c r="E14" s="844" t="s">
        <v>438</v>
      </c>
      <c r="F14" s="846"/>
      <c r="G14" s="845" t="s">
        <v>437</v>
      </c>
      <c r="H14" s="843"/>
      <c r="I14" s="844"/>
      <c r="J14" s="843"/>
    </row>
    <row r="15" spans="1:10" ht="38.25">
      <c r="A15" s="452" t="s">
        <v>348</v>
      </c>
      <c r="B15" s="847" t="s">
        <v>439</v>
      </c>
      <c r="C15" s="845" t="s">
        <v>438</v>
      </c>
      <c r="D15" s="843"/>
      <c r="E15" s="844" t="s">
        <v>437</v>
      </c>
      <c r="F15" s="846"/>
      <c r="G15" s="845" t="s">
        <v>437</v>
      </c>
      <c r="H15" s="843"/>
      <c r="I15" s="844" t="s">
        <v>437</v>
      </c>
      <c r="J15" s="843"/>
    </row>
    <row r="16" spans="1:10" ht="25.5">
      <c r="A16" s="452" t="s">
        <v>349</v>
      </c>
      <c r="B16" s="847" t="s">
        <v>452</v>
      </c>
      <c r="C16" s="845" t="s">
        <v>436</v>
      </c>
      <c r="D16" s="843" t="s">
        <v>434</v>
      </c>
      <c r="E16" s="844" t="s">
        <v>435</v>
      </c>
      <c r="F16" s="846" t="s">
        <v>434</v>
      </c>
      <c r="G16" s="845"/>
      <c r="H16" s="843"/>
      <c r="I16" s="844"/>
      <c r="J16" s="843"/>
    </row>
    <row r="17" spans="1:10" ht="12.75">
      <c r="A17" s="452" t="s">
        <v>350</v>
      </c>
      <c r="B17" s="847" t="s">
        <v>428</v>
      </c>
      <c r="C17" s="845"/>
      <c r="D17" s="843"/>
      <c r="E17" s="844"/>
      <c r="F17" s="846"/>
      <c r="G17" s="845"/>
      <c r="H17" s="843"/>
      <c r="I17" s="844"/>
      <c r="J17" s="843"/>
    </row>
    <row r="18" spans="1:10" ht="25.5">
      <c r="A18" s="452" t="s">
        <v>351</v>
      </c>
      <c r="B18" s="847" t="s">
        <v>433</v>
      </c>
      <c r="C18" s="845" t="s">
        <v>432</v>
      </c>
      <c r="D18" s="843" t="s">
        <v>429</v>
      </c>
      <c r="E18" s="844" t="s">
        <v>430</v>
      </c>
      <c r="F18" s="846" t="s">
        <v>431</v>
      </c>
      <c r="G18" s="845" t="s">
        <v>430</v>
      </c>
      <c r="H18" s="843" t="s">
        <v>429</v>
      </c>
      <c r="I18" s="844"/>
      <c r="J18" s="843"/>
    </row>
    <row r="19" spans="1:10" ht="38.25">
      <c r="A19" s="452" t="s">
        <v>352</v>
      </c>
      <c r="B19" s="847" t="s">
        <v>439</v>
      </c>
      <c r="C19" s="845" t="s">
        <v>442</v>
      </c>
      <c r="D19" s="843" t="s">
        <v>440</v>
      </c>
      <c r="E19" s="844" t="s">
        <v>441</v>
      </c>
      <c r="F19" s="846" t="s">
        <v>440</v>
      </c>
      <c r="G19" s="845" t="s">
        <v>430</v>
      </c>
      <c r="H19" s="848" t="s">
        <v>440</v>
      </c>
      <c r="I19" s="844" t="s">
        <v>430</v>
      </c>
      <c r="J19" s="843" t="s">
        <v>440</v>
      </c>
    </row>
    <row r="20" spans="1:10" ht="38.25">
      <c r="A20" s="452" t="s">
        <v>353</v>
      </c>
      <c r="B20" s="847" t="s">
        <v>439</v>
      </c>
      <c r="C20" s="845" t="s">
        <v>438</v>
      </c>
      <c r="D20" s="843"/>
      <c r="E20" s="844" t="s">
        <v>438</v>
      </c>
      <c r="F20" s="846"/>
      <c r="G20" s="845" t="s">
        <v>437</v>
      </c>
      <c r="H20" s="843"/>
      <c r="I20" s="844"/>
      <c r="J20" s="843"/>
    </row>
    <row r="21" spans="1:10" ht="38.25">
      <c r="A21" s="452" t="s">
        <v>354</v>
      </c>
      <c r="B21" s="847" t="s">
        <v>439</v>
      </c>
      <c r="C21" s="845" t="s">
        <v>438</v>
      </c>
      <c r="D21" s="843"/>
      <c r="E21" s="844" t="s">
        <v>437</v>
      </c>
      <c r="F21" s="846"/>
      <c r="G21" s="845" t="s">
        <v>437</v>
      </c>
      <c r="H21" s="843"/>
      <c r="I21" s="844" t="s">
        <v>437</v>
      </c>
      <c r="J21" s="843"/>
    </row>
    <row r="22" spans="1:10" ht="25.5">
      <c r="A22" s="452" t="s">
        <v>355</v>
      </c>
      <c r="B22" s="847" t="s">
        <v>452</v>
      </c>
      <c r="C22" s="845" t="s">
        <v>436</v>
      </c>
      <c r="D22" s="843" t="s">
        <v>434</v>
      </c>
      <c r="E22" s="844" t="s">
        <v>435</v>
      </c>
      <c r="F22" s="846" t="s">
        <v>434</v>
      </c>
      <c r="G22" s="845"/>
      <c r="H22" s="843"/>
      <c r="I22" s="844"/>
      <c r="J22" s="843"/>
    </row>
    <row r="23" spans="1:10" ht="12.75">
      <c r="A23" s="452" t="s">
        <v>356</v>
      </c>
      <c r="B23" s="847" t="s">
        <v>428</v>
      </c>
      <c r="C23" s="845"/>
      <c r="D23" s="843"/>
      <c r="E23" s="844"/>
      <c r="F23" s="846"/>
      <c r="G23" s="845"/>
      <c r="H23" s="843"/>
      <c r="I23" s="844"/>
      <c r="J23" s="843"/>
    </row>
    <row r="24" spans="1:10" ht="25.5">
      <c r="A24" s="452" t="s">
        <v>357</v>
      </c>
      <c r="B24" s="847" t="s">
        <v>433</v>
      </c>
      <c r="C24" s="845" t="s">
        <v>432</v>
      </c>
      <c r="D24" s="843" t="s">
        <v>429</v>
      </c>
      <c r="E24" s="844" t="s">
        <v>430</v>
      </c>
      <c r="F24" s="846" t="s">
        <v>431</v>
      </c>
      <c r="G24" s="845" t="s">
        <v>430</v>
      </c>
      <c r="H24" s="843" t="s">
        <v>429</v>
      </c>
      <c r="I24" s="844"/>
      <c r="J24" s="843"/>
    </row>
    <row r="25" spans="1:10" ht="38.25">
      <c r="A25" s="452" t="s">
        <v>358</v>
      </c>
      <c r="B25" s="847" t="s">
        <v>439</v>
      </c>
      <c r="C25" s="845" t="s">
        <v>442</v>
      </c>
      <c r="D25" s="843" t="s">
        <v>440</v>
      </c>
      <c r="E25" s="844" t="s">
        <v>441</v>
      </c>
      <c r="F25" s="846" t="s">
        <v>440</v>
      </c>
      <c r="G25" s="845" t="s">
        <v>430</v>
      </c>
      <c r="H25" s="843" t="s">
        <v>440</v>
      </c>
      <c r="I25" s="844" t="s">
        <v>430</v>
      </c>
      <c r="J25" s="843" t="s">
        <v>440</v>
      </c>
    </row>
    <row r="26" spans="1:10" ht="38.25">
      <c r="A26" s="452" t="s">
        <v>359</v>
      </c>
      <c r="B26" s="847" t="s">
        <v>439</v>
      </c>
      <c r="C26" s="845" t="s">
        <v>438</v>
      </c>
      <c r="D26" s="843"/>
      <c r="E26" s="844" t="s">
        <v>438</v>
      </c>
      <c r="F26" s="846"/>
      <c r="G26" s="845" t="s">
        <v>437</v>
      </c>
      <c r="H26" s="843"/>
      <c r="I26" s="844"/>
      <c r="J26" s="843"/>
    </row>
    <row r="27" spans="1:10" ht="38.25">
      <c r="A27" s="452" t="s">
        <v>360</v>
      </c>
      <c r="B27" s="847" t="s">
        <v>439</v>
      </c>
      <c r="C27" s="845" t="s">
        <v>438</v>
      </c>
      <c r="D27" s="843"/>
      <c r="E27" s="844" t="s">
        <v>437</v>
      </c>
      <c r="F27" s="846"/>
      <c r="G27" s="845" t="s">
        <v>437</v>
      </c>
      <c r="H27" s="843"/>
      <c r="I27" s="844" t="s">
        <v>437</v>
      </c>
      <c r="J27" s="843"/>
    </row>
    <row r="28" spans="1:10" ht="25.5">
      <c r="A28" s="452" t="s">
        <v>361</v>
      </c>
      <c r="B28" s="847" t="s">
        <v>452</v>
      </c>
      <c r="C28" s="845" t="s">
        <v>436</v>
      </c>
      <c r="D28" s="843" t="s">
        <v>434</v>
      </c>
      <c r="E28" s="844" t="s">
        <v>435</v>
      </c>
      <c r="F28" s="846" t="s">
        <v>434</v>
      </c>
      <c r="G28" s="845"/>
      <c r="H28" s="843"/>
      <c r="I28" s="844"/>
      <c r="J28" s="843"/>
    </row>
    <row r="29" spans="1:10" ht="12.75">
      <c r="A29" s="452" t="s">
        <v>362</v>
      </c>
      <c r="B29" s="847" t="s">
        <v>428</v>
      </c>
      <c r="C29" s="845"/>
      <c r="D29" s="843"/>
      <c r="E29" s="844"/>
      <c r="F29" s="846"/>
      <c r="G29" s="845"/>
      <c r="H29" s="843"/>
      <c r="I29" s="844"/>
      <c r="J29" s="843"/>
    </row>
    <row r="30" spans="1:10" ht="25.5">
      <c r="A30" s="452" t="s">
        <v>363</v>
      </c>
      <c r="B30" s="847" t="s">
        <v>433</v>
      </c>
      <c r="C30" s="845" t="s">
        <v>432</v>
      </c>
      <c r="D30" s="843" t="s">
        <v>429</v>
      </c>
      <c r="E30" s="844" t="s">
        <v>430</v>
      </c>
      <c r="F30" s="846" t="s">
        <v>431</v>
      </c>
      <c r="G30" s="845" t="s">
        <v>430</v>
      </c>
      <c r="H30" s="843" t="s">
        <v>429</v>
      </c>
      <c r="I30" s="844"/>
      <c r="J30" s="843"/>
    </row>
    <row r="31" spans="1:10" ht="38.25">
      <c r="A31" s="452" t="s">
        <v>364</v>
      </c>
      <c r="B31" s="847" t="s">
        <v>439</v>
      </c>
      <c r="C31" s="845" t="s">
        <v>442</v>
      </c>
      <c r="D31" s="843" t="s">
        <v>440</v>
      </c>
      <c r="E31" s="844" t="s">
        <v>441</v>
      </c>
      <c r="F31" s="846" t="s">
        <v>440</v>
      </c>
      <c r="G31" s="845" t="s">
        <v>430</v>
      </c>
      <c r="H31" s="843" t="s">
        <v>440</v>
      </c>
      <c r="I31" s="844" t="s">
        <v>430</v>
      </c>
      <c r="J31" s="843" t="s">
        <v>440</v>
      </c>
    </row>
    <row r="32" spans="1:10" ht="38.25">
      <c r="A32" s="452" t="s">
        <v>365</v>
      </c>
      <c r="B32" s="847" t="s">
        <v>439</v>
      </c>
      <c r="C32" s="845" t="s">
        <v>438</v>
      </c>
      <c r="D32" s="843"/>
      <c r="E32" s="844" t="s">
        <v>438</v>
      </c>
      <c r="F32" s="846"/>
      <c r="G32" s="845" t="s">
        <v>437</v>
      </c>
      <c r="H32" s="843"/>
      <c r="I32" s="844"/>
      <c r="J32" s="843"/>
    </row>
    <row r="33" spans="1:10" ht="38.25">
      <c r="A33" s="452" t="s">
        <v>366</v>
      </c>
      <c r="B33" s="847" t="s">
        <v>439</v>
      </c>
      <c r="C33" s="845" t="s">
        <v>438</v>
      </c>
      <c r="D33" s="843"/>
      <c r="E33" s="844" t="s">
        <v>437</v>
      </c>
      <c r="F33" s="846"/>
      <c r="G33" s="845" t="s">
        <v>437</v>
      </c>
      <c r="H33" s="843"/>
      <c r="I33" s="844" t="s">
        <v>437</v>
      </c>
      <c r="J33" s="843"/>
    </row>
    <row r="34" spans="1:10" ht="25.5">
      <c r="A34" s="452" t="s">
        <v>367</v>
      </c>
      <c r="B34" s="847" t="s">
        <v>452</v>
      </c>
      <c r="C34" s="845" t="s">
        <v>436</v>
      </c>
      <c r="D34" s="843" t="s">
        <v>434</v>
      </c>
      <c r="E34" s="844" t="s">
        <v>435</v>
      </c>
      <c r="F34" s="846" t="s">
        <v>434</v>
      </c>
      <c r="G34" s="845"/>
      <c r="H34" s="843"/>
      <c r="I34" s="844"/>
      <c r="J34" s="843"/>
    </row>
    <row r="35" spans="1:10" ht="12.75">
      <c r="A35" s="452" t="s">
        <v>368</v>
      </c>
      <c r="B35" s="847" t="s">
        <v>428</v>
      </c>
      <c r="C35" s="845"/>
      <c r="D35" s="843"/>
      <c r="E35" s="844"/>
      <c r="F35" s="846"/>
      <c r="G35" s="845"/>
      <c r="H35" s="843"/>
      <c r="I35" s="844"/>
      <c r="J35" s="843"/>
    </row>
    <row r="36" spans="1:10" ht="25.5">
      <c r="A36" s="452" t="s">
        <v>369</v>
      </c>
      <c r="B36" s="847" t="s">
        <v>433</v>
      </c>
      <c r="C36" s="845" t="s">
        <v>432</v>
      </c>
      <c r="D36" s="843" t="s">
        <v>429</v>
      </c>
      <c r="E36" s="844" t="s">
        <v>430</v>
      </c>
      <c r="F36" s="846" t="s">
        <v>431</v>
      </c>
      <c r="G36" s="845" t="s">
        <v>430</v>
      </c>
      <c r="H36" s="843" t="s">
        <v>429</v>
      </c>
      <c r="I36" s="844"/>
      <c r="J36" s="843"/>
    </row>
    <row r="37" spans="1:10" ht="12.75">
      <c r="A37" s="452" t="s">
        <v>370</v>
      </c>
      <c r="B37" s="847" t="s">
        <v>428</v>
      </c>
      <c r="C37" s="845"/>
      <c r="D37" s="843"/>
      <c r="E37" s="844"/>
      <c r="F37" s="846"/>
      <c r="G37" s="845"/>
      <c r="H37" s="843"/>
      <c r="I37" s="844"/>
      <c r="J37" s="843"/>
    </row>
    <row r="38" spans="1:10" ht="12.75">
      <c r="A38" s="452" t="s">
        <v>371</v>
      </c>
      <c r="B38" s="847"/>
      <c r="C38" s="845"/>
      <c r="D38" s="843"/>
      <c r="E38" s="844"/>
      <c r="F38" s="846"/>
      <c r="G38" s="845"/>
      <c r="H38" s="843"/>
      <c r="I38" s="844"/>
      <c r="J38" s="843"/>
    </row>
    <row r="39" spans="1:10" ht="12.75">
      <c r="A39" s="452" t="s">
        <v>372</v>
      </c>
      <c r="B39" s="847"/>
      <c r="C39" s="845"/>
      <c r="D39" s="843"/>
      <c r="E39" s="844"/>
      <c r="F39" s="846"/>
      <c r="G39" s="845"/>
      <c r="H39" s="843"/>
      <c r="I39" s="844"/>
      <c r="J39" s="843"/>
    </row>
    <row r="40" spans="1:10" ht="12.75">
      <c r="A40" s="452" t="s">
        <v>373</v>
      </c>
      <c r="B40" s="847"/>
      <c r="C40" s="845"/>
      <c r="D40" s="843"/>
      <c r="E40" s="844"/>
      <c r="F40" s="846"/>
      <c r="G40" s="845"/>
      <c r="H40" s="843"/>
      <c r="I40" s="844"/>
      <c r="J40" s="843"/>
    </row>
    <row r="41" spans="1:10" ht="12.75">
      <c r="A41" s="452" t="s">
        <v>374</v>
      </c>
      <c r="B41" s="847"/>
      <c r="C41" s="845"/>
      <c r="D41" s="843"/>
      <c r="E41" s="844"/>
      <c r="F41" s="846"/>
      <c r="G41" s="845"/>
      <c r="H41" s="843"/>
      <c r="I41" s="844"/>
      <c r="J41" s="843"/>
    </row>
    <row r="42" spans="1:10" ht="12.75">
      <c r="A42" s="452" t="s">
        <v>375</v>
      </c>
      <c r="B42" s="847"/>
      <c r="C42" s="845"/>
      <c r="D42" s="843"/>
      <c r="E42" s="844"/>
      <c r="F42" s="846"/>
      <c r="G42" s="845"/>
      <c r="H42" s="843"/>
      <c r="I42" s="844"/>
      <c r="J42" s="843"/>
    </row>
    <row r="43" spans="1:10" ht="12.75">
      <c r="A43" s="452" t="s">
        <v>376</v>
      </c>
      <c r="B43" s="847"/>
      <c r="C43" s="845"/>
      <c r="D43" s="843"/>
      <c r="E43" s="844"/>
      <c r="F43" s="846"/>
      <c r="G43" s="845"/>
      <c r="H43" s="843"/>
      <c r="I43" s="844"/>
      <c r="J43" s="843"/>
    </row>
    <row r="44" spans="1:10" ht="12.75">
      <c r="A44" s="452" t="s">
        <v>377</v>
      </c>
      <c r="B44" s="847"/>
      <c r="C44" s="845"/>
      <c r="D44" s="843"/>
      <c r="E44" s="844"/>
      <c r="F44" s="846"/>
      <c r="G44" s="845"/>
      <c r="H44" s="843"/>
      <c r="I44" s="844"/>
      <c r="J44" s="843"/>
    </row>
    <row r="45" spans="1:10" ht="12.75">
      <c r="A45" s="452" t="s">
        <v>378</v>
      </c>
      <c r="B45" s="847"/>
      <c r="C45" s="845"/>
      <c r="D45" s="843"/>
      <c r="E45" s="844"/>
      <c r="F45" s="846"/>
      <c r="G45" s="845"/>
      <c r="H45" s="843"/>
      <c r="I45" s="844"/>
      <c r="J45" s="843"/>
    </row>
    <row r="46" spans="1:10" ht="12.75">
      <c r="A46" s="452" t="s">
        <v>379</v>
      </c>
      <c r="B46" s="847"/>
      <c r="C46" s="845"/>
      <c r="D46" s="843"/>
      <c r="E46" s="844"/>
      <c r="F46" s="846"/>
      <c r="G46" s="845"/>
      <c r="H46" s="843"/>
      <c r="I46" s="844"/>
      <c r="J46" s="843"/>
    </row>
    <row r="47" spans="1:10" ht="12.75">
      <c r="A47" s="452" t="s">
        <v>380</v>
      </c>
      <c r="B47" s="842"/>
      <c r="C47" s="840"/>
      <c r="D47" s="838"/>
      <c r="E47" s="839"/>
      <c r="F47" s="841"/>
      <c r="G47" s="840"/>
      <c r="H47" s="838"/>
      <c r="I47" s="839"/>
      <c r="J47" s="838"/>
    </row>
  </sheetData>
  <sheetProtection/>
  <mergeCells count="3">
    <mergeCell ref="C10:J10"/>
    <mergeCell ref="A3:F3"/>
    <mergeCell ref="A4:F4"/>
  </mergeCells>
  <dataValidations count="3">
    <dataValidation type="list" allowBlank="1" showInputMessage="1" showErrorMessage="1" sqref="B12:B47">
      <formula1>Yes_no_P</formula1>
    </dataValidation>
    <dataValidation type="list" allowBlank="1" showInputMessage="1" showErrorMessage="1" sqref="J12:J47 D12:D47 F12:F47 H12:H47">
      <formula1>time_P</formula1>
    </dataValidation>
    <dataValidation type="list" allowBlank="1" showInputMessage="1" showErrorMessage="1" sqref="C12:C47 G12:G47 E12:E47 I12:I47">
      <formula1>container_P</formula1>
    </dataValidation>
  </dataValidations>
  <printOptions headings="1"/>
  <pageMargins left="0.75" right="0.75" top="1" bottom="1" header="0.5" footer="0.5"/>
  <pageSetup fitToHeight="1" fitToWidth="1" orientation="portrait" scale="57" r:id="rId1"/>
</worksheet>
</file>

<file path=xl/worksheets/sheet19.xml><?xml version="1.0" encoding="utf-8"?>
<worksheet xmlns="http://schemas.openxmlformats.org/spreadsheetml/2006/main" xmlns:r="http://schemas.openxmlformats.org/officeDocument/2006/relationships">
  <sheetPr codeName="Sheet36">
    <tabColor rgb="FFAD470F"/>
    <pageSetUpPr fitToPage="1"/>
  </sheetPr>
  <dimension ref="A1:AO46"/>
  <sheetViews>
    <sheetView zoomScalePageLayoutView="0" workbookViewId="0" topLeftCell="A25">
      <selection activeCell="A1" sqref="A1"/>
    </sheetView>
  </sheetViews>
  <sheetFormatPr defaultColWidth="8.8515625" defaultRowHeight="12.75"/>
  <cols>
    <col min="1" max="1" width="14.140625" style="299" customWidth="1"/>
    <col min="2" max="2" width="12.00390625" style="299" customWidth="1"/>
    <col min="3" max="28" width="11.28125" style="299" customWidth="1"/>
    <col min="29" max="30" width="11.00390625" style="299" bestFit="1" customWidth="1"/>
    <col min="31" max="34" width="8.8515625" style="299" customWidth="1"/>
    <col min="35" max="39" width="10.421875" style="299" customWidth="1"/>
    <col min="40" max="41" width="11.00390625" style="299" customWidth="1"/>
    <col min="42" max="16384" width="8.8515625" style="299" customWidth="1"/>
  </cols>
  <sheetData>
    <row r="1" spans="1:39" s="300" customFormat="1" ht="15.75">
      <c r="A1" s="1132" t="s">
        <v>973</v>
      </c>
      <c r="B1" s="296"/>
      <c r="X1" s="928"/>
      <c r="Z1" s="928"/>
      <c r="AA1" s="928"/>
      <c r="AB1" s="928"/>
      <c r="AI1" s="927"/>
      <c r="AJ1" s="927"/>
      <c r="AK1" s="927"/>
      <c r="AL1" s="927"/>
      <c r="AM1" s="927"/>
    </row>
    <row r="2" spans="2:39" s="300" customFormat="1" ht="12.75">
      <c r="B2" s="296"/>
      <c r="X2" s="928"/>
      <c r="Z2" s="928"/>
      <c r="AA2" s="928"/>
      <c r="AB2" s="928"/>
      <c r="AI2" s="927"/>
      <c r="AJ2" s="927"/>
      <c r="AK2" s="927"/>
      <c r="AL2" s="927"/>
      <c r="AM2" s="927"/>
    </row>
    <row r="4" spans="1:39" ht="39.75" customHeight="1">
      <c r="A4" s="603"/>
      <c r="B4" s="926"/>
      <c r="C4" s="1317" t="s">
        <v>447</v>
      </c>
      <c r="D4" s="1318"/>
      <c r="E4" s="1318"/>
      <c r="F4" s="1318"/>
      <c r="G4" s="1319"/>
      <c r="H4" s="1317" t="s">
        <v>972</v>
      </c>
      <c r="I4" s="1318"/>
      <c r="J4" s="1318"/>
      <c r="K4" s="1318"/>
      <c r="L4" s="1320"/>
      <c r="M4" s="1321" t="s">
        <v>971</v>
      </c>
      <c r="N4" s="1318"/>
      <c r="O4" s="1318"/>
      <c r="P4" s="1318"/>
      <c r="Q4" s="1322"/>
      <c r="R4" s="1317" t="s">
        <v>970</v>
      </c>
      <c r="S4" s="1318"/>
      <c r="T4" s="1318"/>
      <c r="U4" s="1318"/>
      <c r="V4" s="1320"/>
      <c r="W4" s="791"/>
      <c r="X4" s="865"/>
      <c r="Y4" s="1323" t="s">
        <v>962</v>
      </c>
      <c r="Z4" s="1327" t="s">
        <v>969</v>
      </c>
      <c r="AA4" s="1328"/>
      <c r="AB4" s="1329"/>
      <c r="AC4" s="1332" t="s">
        <v>968</v>
      </c>
      <c r="AD4" s="1333"/>
      <c r="AE4" s="1333"/>
      <c r="AF4" s="1333"/>
      <c r="AG4" s="1333"/>
      <c r="AH4" s="1333"/>
      <c r="AI4" s="1325" t="s">
        <v>967</v>
      </c>
      <c r="AJ4" s="1325"/>
      <c r="AK4" s="1325"/>
      <c r="AL4" s="1325"/>
      <c r="AM4" s="1325"/>
    </row>
    <row r="5" spans="1:39" s="868" customFormat="1" ht="60" customHeight="1">
      <c r="A5" s="925" t="s">
        <v>449</v>
      </c>
      <c r="B5" s="924" t="s">
        <v>448</v>
      </c>
      <c r="C5" s="919" t="s">
        <v>447</v>
      </c>
      <c r="D5" s="921" t="s">
        <v>443</v>
      </c>
      <c r="E5" s="921" t="s">
        <v>966</v>
      </c>
      <c r="F5" s="921" t="s">
        <v>965</v>
      </c>
      <c r="G5" s="922" t="s">
        <v>964</v>
      </c>
      <c r="H5" s="919" t="s">
        <v>446</v>
      </c>
      <c r="I5" s="921" t="s">
        <v>443</v>
      </c>
      <c r="J5" s="921" t="s">
        <v>966</v>
      </c>
      <c r="K5" s="921" t="s">
        <v>965</v>
      </c>
      <c r="L5" s="920" t="s">
        <v>964</v>
      </c>
      <c r="M5" s="923" t="s">
        <v>445</v>
      </c>
      <c r="N5" s="921" t="s">
        <v>443</v>
      </c>
      <c r="O5" s="921" t="s">
        <v>966</v>
      </c>
      <c r="P5" s="921" t="s">
        <v>965</v>
      </c>
      <c r="Q5" s="922" t="s">
        <v>964</v>
      </c>
      <c r="R5" s="919" t="s">
        <v>444</v>
      </c>
      <c r="S5" s="921" t="s">
        <v>443</v>
      </c>
      <c r="T5" s="921" t="s">
        <v>966</v>
      </c>
      <c r="U5" s="921" t="s">
        <v>965</v>
      </c>
      <c r="V5" s="920" t="s">
        <v>964</v>
      </c>
      <c r="W5" s="919" t="s">
        <v>963</v>
      </c>
      <c r="X5" s="856" t="s">
        <v>960</v>
      </c>
      <c r="Y5" s="1324"/>
      <c r="Z5" s="918" t="s">
        <v>493</v>
      </c>
      <c r="AA5" s="918" t="s">
        <v>958</v>
      </c>
      <c r="AB5" s="917" t="s">
        <v>494</v>
      </c>
      <c r="AC5" s="853" t="s">
        <v>963</v>
      </c>
      <c r="AD5" s="916" t="s">
        <v>960</v>
      </c>
      <c r="AE5" s="915" t="s">
        <v>962</v>
      </c>
      <c r="AF5" s="914" t="s">
        <v>493</v>
      </c>
      <c r="AG5" s="914" t="s">
        <v>958</v>
      </c>
      <c r="AH5" s="913" t="s">
        <v>494</v>
      </c>
      <c r="AI5" s="912" t="s">
        <v>960</v>
      </c>
      <c r="AJ5" s="911" t="s">
        <v>962</v>
      </c>
      <c r="AK5" s="910" t="s">
        <v>493</v>
      </c>
      <c r="AL5" s="910" t="s">
        <v>958</v>
      </c>
      <c r="AM5" s="909" t="s">
        <v>494</v>
      </c>
    </row>
    <row r="6" spans="1:39" ht="38.25">
      <c r="A6" s="891" t="str">
        <f>'Zero Waste Log'!A12</f>
        <v>Student01</v>
      </c>
      <c r="B6" s="890" t="str">
        <f>'Zero Waste Log'!B12</f>
        <v>Y</v>
      </c>
      <c r="C6" s="305" t="str">
        <f>'Zero Waste Log'!C12</f>
        <v>Laptop Lunch - bento box</v>
      </c>
      <c r="D6" s="891" t="str">
        <f>'Zero Waste Log'!D12</f>
        <v>once a semester</v>
      </c>
      <c r="E6" s="891">
        <f>IF(C6=0,0,VLOOKUP(C6,Conversions!$A$288:$B$296,2,FALSE))</f>
        <v>400</v>
      </c>
      <c r="F6" s="1077">
        <f>IF(OR(C6="zip lock plastic bag - square",C6="zip lock plastic bag - snack size"),178,IF(C6=0,0,(VLOOKUP(D6,Conversions!$A$300:$B$305,2,FALSE))))</f>
        <v>3</v>
      </c>
      <c r="G6" s="906">
        <f aca="true" t="shared" si="0" ref="G6:G41">E6*F6</f>
        <v>1200</v>
      </c>
      <c r="H6" s="305" t="str">
        <f>'Zero Waste Log'!E12</f>
        <v>Laptop Lunch - water bottle</v>
      </c>
      <c r="I6" s="891" t="str">
        <f>'Zero Waste Log'!F12</f>
        <v>once every other month</v>
      </c>
      <c r="J6" s="891">
        <f>IF(H6=0,0,VLOOKUP(H6,Conversions!$A$288:$B$296,2,FALSE))</f>
        <v>37</v>
      </c>
      <c r="K6" s="891">
        <f>IF(OR(H6="zip lock plastic bag - square",H6="zip lock plastic bag - snack size"),178,IF(H6=0,0,(VLOOKUP(I6,Conversions!$A$300:$B$305,2,FALSE))))</f>
        <v>5.5</v>
      </c>
      <c r="L6" s="908">
        <f aca="true" t="shared" si="1" ref="L6:L41">J6*K6</f>
        <v>203.5</v>
      </c>
      <c r="M6" s="907">
        <f>'Zero Waste Log'!G12</f>
        <v>0</v>
      </c>
      <c r="N6" s="891">
        <f>'Zero Waste Log'!H12</f>
        <v>0</v>
      </c>
      <c r="O6" s="891">
        <f>IF(M6=0,0,VLOOKUP(M6,Conversions!$A$288:$B$296,2,FALSE))</f>
        <v>0</v>
      </c>
      <c r="P6" s="891">
        <f>IF(OR(M6="zip lock plastic bag - square",M6="zip lock plastic bag - snack size"),178,IF(M6=0,0,(VLOOKUP(N6,Conversions!$A$300:$B$305,2,FALSE))))</f>
        <v>0</v>
      </c>
      <c r="Q6" s="906">
        <f aca="true" t="shared" si="2" ref="Q6:Q41">O6*P6</f>
        <v>0</v>
      </c>
      <c r="R6" s="308">
        <f>'Zero Waste Log'!I12</f>
        <v>0</v>
      </c>
      <c r="S6" s="905">
        <f>'Zero Waste Log'!J12</f>
        <v>0</v>
      </c>
      <c r="T6" s="905">
        <f>IF(R6=0,0,VLOOKUP(R6,Conversions!$A$288:$B$296,2,FALSE))</f>
        <v>0</v>
      </c>
      <c r="U6" s="905">
        <f>IF(OR(R6="zip lock plastic bag - square",R6="zip lock plastic bag - snack size"),178,IF(R6=0,0,(VLOOKUP(S6,Conversions!$A$300:$B$305,2,FALSE))))</f>
        <v>0</v>
      </c>
      <c r="V6" s="905">
        <f aca="true" t="shared" si="3" ref="V6:V41">T6*U6</f>
        <v>0</v>
      </c>
      <c r="W6" s="905">
        <f aca="true" t="shared" si="4" ref="W6:W41">G6+L6+Q6+V6</f>
        <v>1403.5</v>
      </c>
      <c r="X6" s="903">
        <f>W6/Conversions!$B$5</f>
        <v>3.094204016843405</v>
      </c>
      <c r="Y6" s="903">
        <f>W6/Conversions!$B$309/(4.3*5)</f>
        <v>10.879844961240309</v>
      </c>
      <c r="Z6" s="903">
        <f>$X6*Conversions!$B$20</f>
        <v>35.326524156934816</v>
      </c>
      <c r="AA6" s="903">
        <f>($X6*Conversions!$C$20)+(X6*Conversions!$D$48)</f>
        <v>48.296674377444305</v>
      </c>
      <c r="AB6" s="904">
        <f>$X6*Conversions!$D$20</f>
        <v>7.79166619486429</v>
      </c>
      <c r="AC6" s="883">
        <f>(Conversions!$B$292+Conversions!$B$291+Conversions!$B$290+Conversions!$B$290)*Conversions!$B$304</f>
        <v>384</v>
      </c>
      <c r="AD6" s="903">
        <f>AC6/Conversions!$B$5</f>
        <v>0.846579510130294</v>
      </c>
      <c r="AE6" s="903">
        <f>AC6/Conversions!$B$309/(4.3*5)</f>
        <v>2.9767441860465116</v>
      </c>
      <c r="AF6" s="903">
        <f>$AD6*Conversions!$B$20</f>
        <v>9.665397418071231</v>
      </c>
      <c r="AG6" s="903">
        <f>($AD6*Conversions!$C$20)+(AD6*Conversions!$D$48)</f>
        <v>13.21405269749812</v>
      </c>
      <c r="AH6" s="902">
        <f>$AD6*Conversions!$D$20</f>
        <v>2.131813194747337</v>
      </c>
      <c r="AI6" s="901">
        <f aca="true" t="shared" si="5" ref="AI6:AI41">IF(OR($B6="N",$B6=0),0,X6-AD6)</f>
        <v>2.2476245067131106</v>
      </c>
      <c r="AJ6" s="900">
        <f aca="true" t="shared" si="6" ref="AJ6:AJ41">IF(OR($B6="N",$B6=0),0,Y6-AE6)</f>
        <v>7.903100775193797</v>
      </c>
      <c r="AK6" s="900">
        <f aca="true" t="shared" si="7" ref="AK6:AK41">IF(OR($B6="N",$B6=0),0,Z6-AF6)</f>
        <v>25.661126738863587</v>
      </c>
      <c r="AL6" s="900">
        <f aca="true" t="shared" si="8" ref="AL6:AL41">IF(OR($B6="N",$B6=0),0,AA6-AG6)</f>
        <v>35.082621679946186</v>
      </c>
      <c r="AM6" s="899">
        <f aca="true" t="shared" si="9" ref="AM6:AM41">IF(OR($B6="N",$B6=0),0,AB6-AH6)</f>
        <v>5.659853000116954</v>
      </c>
    </row>
    <row r="7" spans="1:39" ht="38.25">
      <c r="A7" s="891" t="str">
        <f>'Zero Waste Log'!A13</f>
        <v>Student02</v>
      </c>
      <c r="B7" s="890" t="str">
        <f>'Zero Waste Log'!B13</f>
        <v>Y</v>
      </c>
      <c r="C7" s="304" t="str">
        <f>'Zero Waste Log'!C13</f>
        <v>rubber maid - square for sandwich</v>
      </c>
      <c r="D7" s="832" t="str">
        <f>'Zero Waste Log'!D13</f>
        <v>once a semester</v>
      </c>
      <c r="E7" s="832">
        <f>IF(C7=0,0,VLOOKUP(C7,Conversions!$A$288:$B$296,2,FALSE))</f>
        <v>88</v>
      </c>
      <c r="F7" s="832">
        <f>IF(OR(C7="zip lock plastic bag - square",C7="zip lock plastic bag - snack size"),178,IF(C7=0,0,(VLOOKUP(D7,Conversions!$A$300:$B$305,2,FALSE))))</f>
        <v>3</v>
      </c>
      <c r="G7" s="897">
        <f t="shared" si="0"/>
        <v>264</v>
      </c>
      <c r="H7" s="304" t="str">
        <f>'Zero Waste Log'!E13</f>
        <v>Rubbermaid - 4 oz</v>
      </c>
      <c r="I7" s="832" t="str">
        <f>'Zero Waste Log'!F13</f>
        <v>once a semester</v>
      </c>
      <c r="J7" s="832">
        <f>IF(H7=0,0,VLOOKUP(H7,Conversions!$A$288:$B$296,2,FALSE))</f>
        <v>23</v>
      </c>
      <c r="K7" s="832">
        <f>IF(OR(H7="zip lock plastic bag - square",H7="zip lock plastic bag - snack size"),178,IF(H7=0,0,(VLOOKUP(I7,Conversions!$A$300:$B$305,2,FALSE))))</f>
        <v>3</v>
      </c>
      <c r="L7" s="831">
        <f t="shared" si="1"/>
        <v>69</v>
      </c>
      <c r="M7" s="898" t="str">
        <f>'Zero Waste Log'!G13</f>
        <v>Rubbermaid - 1.25 cups</v>
      </c>
      <c r="N7" s="832" t="str">
        <f>'Zero Waste Log'!H13</f>
        <v>once a semester</v>
      </c>
      <c r="O7" s="832">
        <f>IF(M7=0,0,VLOOKUP(M7,Conversions!$A$288:$B$296,2,FALSE))</f>
        <v>58</v>
      </c>
      <c r="P7" s="832">
        <f>IF(OR(M7="zip lock plastic bag - square",M7="zip lock plastic bag - snack size"),178,IF(M7=0,0,(VLOOKUP(N7,Conversions!$A$300:$B$305,2,FALSE))))</f>
        <v>3</v>
      </c>
      <c r="Q7" s="897">
        <f t="shared" si="2"/>
        <v>174</v>
      </c>
      <c r="R7" s="304" t="str">
        <f>'Zero Waste Log'!I13</f>
        <v>Rubbermaid - 1.25 cups</v>
      </c>
      <c r="S7" s="832" t="str">
        <f>'Zero Waste Log'!J13</f>
        <v>once a semester</v>
      </c>
      <c r="T7" s="832">
        <f>IF(R7=0,0,VLOOKUP(R7,Conversions!$A$288:$B$296,2,FALSE))</f>
        <v>58</v>
      </c>
      <c r="U7" s="832">
        <f>IF(OR(R7="zip lock plastic bag - square",R7="zip lock plastic bag - snack size"),178,IF(R7=0,0,(VLOOKUP(S7,Conversions!$A$300:$B$305,2,FALSE))))</f>
        <v>3</v>
      </c>
      <c r="V7" s="832">
        <f t="shared" si="3"/>
        <v>174</v>
      </c>
      <c r="W7" s="832">
        <f t="shared" si="4"/>
        <v>681</v>
      </c>
      <c r="X7" s="895">
        <f>W7/Conversions!$B$5</f>
        <v>1.501355849996693</v>
      </c>
      <c r="Y7" s="895">
        <f>W7/Conversions!$B$309/(4.3*5)</f>
        <v>5.27906976744186</v>
      </c>
      <c r="Z7" s="895">
        <f>$X7*Conversions!$B$20</f>
        <v>17.140978233610696</v>
      </c>
      <c r="AA7" s="895">
        <f>($X7*Conversions!$C$20)+(X7*Conversions!$D$48)</f>
        <v>23.434296580719323</v>
      </c>
      <c r="AB7" s="896">
        <f>$X7*Conversions!$D$20</f>
        <v>3.7806374625597305</v>
      </c>
      <c r="AC7" s="883">
        <f>(Conversions!$B$292+Conversions!$B$291+Conversions!$B$290+Conversions!$B$290)*Conversions!$B$304</f>
        <v>384</v>
      </c>
      <c r="AD7" s="895">
        <f>AC7/Conversions!$B$5</f>
        <v>0.846579510130294</v>
      </c>
      <c r="AE7" s="895">
        <f>AC7/Conversions!$B$309/(4.3*5)</f>
        <v>2.9767441860465116</v>
      </c>
      <c r="AF7" s="895">
        <f>$AD7*Conversions!$B$20</f>
        <v>9.665397418071231</v>
      </c>
      <c r="AG7" s="895">
        <f>($AD7*Conversions!$C$20)+(AD7*Conversions!$D$48)</f>
        <v>13.21405269749812</v>
      </c>
      <c r="AH7" s="902">
        <f>$AD7*Conversions!$D$20</f>
        <v>2.131813194747337</v>
      </c>
      <c r="AI7" s="894">
        <f t="shared" si="5"/>
        <v>0.654776339866399</v>
      </c>
      <c r="AJ7" s="893">
        <f t="shared" si="6"/>
        <v>2.3023255813953485</v>
      </c>
      <c r="AK7" s="893">
        <f t="shared" si="7"/>
        <v>7.475580815539464</v>
      </c>
      <c r="AL7" s="893">
        <f t="shared" si="8"/>
        <v>10.220243883221203</v>
      </c>
      <c r="AM7" s="892">
        <f t="shared" si="9"/>
        <v>1.6488242678123934</v>
      </c>
    </row>
    <row r="8" spans="1:39" ht="38.25">
      <c r="A8" s="891" t="str">
        <f>'Zero Waste Log'!A14</f>
        <v>Student03</v>
      </c>
      <c r="B8" s="890" t="str">
        <f>'Zero Waste Log'!B14</f>
        <v>Y</v>
      </c>
      <c r="C8" s="304" t="str">
        <f>'Zero Waste Log'!C14</f>
        <v>zip lock plastic bag - square</v>
      </c>
      <c r="D8" s="832">
        <f>'Zero Waste Log'!D14</f>
        <v>0</v>
      </c>
      <c r="E8" s="832">
        <f>IF(C8=0,0,VLOOKUP(C8,Conversions!$A$288:$B$296,2,FALSE))</f>
        <v>3</v>
      </c>
      <c r="F8" s="832">
        <v>175</v>
      </c>
      <c r="G8" s="897">
        <f t="shared" si="0"/>
        <v>525</v>
      </c>
      <c r="H8" s="304" t="str">
        <f>'Zero Waste Log'!E14</f>
        <v>zip lock plastic bag - square</v>
      </c>
      <c r="I8" s="832">
        <f>'Zero Waste Log'!F14</f>
        <v>0</v>
      </c>
      <c r="J8" s="832">
        <f>IF(H8=0,0,VLOOKUP(H8,Conversions!$A$288:$B$296,2,FALSE))</f>
        <v>3</v>
      </c>
      <c r="K8" s="832">
        <v>175</v>
      </c>
      <c r="L8" s="831">
        <f t="shared" si="1"/>
        <v>525</v>
      </c>
      <c r="M8" s="898" t="str">
        <f>'Zero Waste Log'!G14</f>
        <v>zip lock plastic bag - snack size</v>
      </c>
      <c r="N8" s="832">
        <f>'Zero Waste Log'!H14</f>
        <v>0</v>
      </c>
      <c r="O8" s="832">
        <f>IF(M8=0,0,VLOOKUP(M8,Conversions!$A$288:$B$296,2,FALSE))</f>
        <v>1.5</v>
      </c>
      <c r="P8" s="832">
        <v>175</v>
      </c>
      <c r="Q8" s="897">
        <f t="shared" si="2"/>
        <v>262.5</v>
      </c>
      <c r="R8" s="304">
        <f>'Zero Waste Log'!I14</f>
        <v>0</v>
      </c>
      <c r="S8" s="832">
        <f>'Zero Waste Log'!J14</f>
        <v>0</v>
      </c>
      <c r="T8" s="832">
        <f>IF(R8=0,0,VLOOKUP(R8,Conversions!$A$288:$B$296,2,FALSE))</f>
        <v>0</v>
      </c>
      <c r="U8" s="832">
        <f>IF(OR(R8="zip lock plastic bag - square",R8="zip lock plastic bag - snack size"),178,IF(R8=0,0,(VLOOKUP(S8,Conversions!$A$300:$B$305,2,FALSE))))</f>
        <v>0</v>
      </c>
      <c r="V8" s="832">
        <f t="shared" si="3"/>
        <v>0</v>
      </c>
      <c r="W8" s="832">
        <f t="shared" si="4"/>
        <v>1312.5</v>
      </c>
      <c r="X8" s="895">
        <f>W8/Conversions!$B$5</f>
        <v>2.893582310015653</v>
      </c>
      <c r="Y8" s="895">
        <f>W8/Conversions!$B$309/(4.3*5)</f>
        <v>10.174418604651162</v>
      </c>
      <c r="Z8" s="895">
        <f>$X8*Conversions!$B$20</f>
        <v>33.036026331298146</v>
      </c>
      <c r="AA8" s="895">
        <f>($X8*Conversions!$C$20)+(X8*Conversions!$D$48)</f>
        <v>45.16521918090178</v>
      </c>
      <c r="AB8" s="896">
        <f>$X8*Conversions!$D$20</f>
        <v>7.286470880484062</v>
      </c>
      <c r="AC8" s="883">
        <f>(Conversions!$B$292+Conversions!$B$291+Conversions!$B$290+Conversions!$B$290)*Conversions!$B$304</f>
        <v>384</v>
      </c>
      <c r="AD8" s="895">
        <f>AC8/Conversions!$B$5</f>
        <v>0.846579510130294</v>
      </c>
      <c r="AE8" s="895">
        <f>AC8/Conversions!$B$309/(4.3*5)</f>
        <v>2.9767441860465116</v>
      </c>
      <c r="AF8" s="895">
        <f>$AD8*Conversions!$B$20</f>
        <v>9.665397418071231</v>
      </c>
      <c r="AG8" s="895">
        <f>($AD8*Conversions!$C$20)+(AD8*Conversions!$D$48)</f>
        <v>13.21405269749812</v>
      </c>
      <c r="AH8" s="902">
        <f>$AD8*Conversions!$D$20</f>
        <v>2.131813194747337</v>
      </c>
      <c r="AI8" s="894">
        <f t="shared" si="5"/>
        <v>2.047002799885359</v>
      </c>
      <c r="AJ8" s="893">
        <f t="shared" si="6"/>
        <v>7.197674418604651</v>
      </c>
      <c r="AK8" s="893">
        <f t="shared" si="7"/>
        <v>23.370628913226916</v>
      </c>
      <c r="AL8" s="893">
        <f t="shared" si="8"/>
        <v>31.95116648340366</v>
      </c>
      <c r="AM8" s="892">
        <f t="shared" si="9"/>
        <v>5.154657685736725</v>
      </c>
    </row>
    <row r="9" spans="1:39" ht="38.25">
      <c r="A9" s="891" t="str">
        <f>'Zero Waste Log'!A15</f>
        <v>Student04</v>
      </c>
      <c r="B9" s="890" t="str">
        <f>'Zero Waste Log'!B15</f>
        <v>Y</v>
      </c>
      <c r="C9" s="304" t="str">
        <f>'Zero Waste Log'!C15</f>
        <v>zip lock plastic bag - square</v>
      </c>
      <c r="D9" s="832">
        <f>'Zero Waste Log'!D15</f>
        <v>0</v>
      </c>
      <c r="E9" s="832">
        <f>IF(C9=0,0,VLOOKUP(C9,Conversions!$A$288:$B$296,2,FALSE))</f>
        <v>3</v>
      </c>
      <c r="F9" s="832">
        <v>175</v>
      </c>
      <c r="G9" s="897">
        <f t="shared" si="0"/>
        <v>525</v>
      </c>
      <c r="H9" s="304" t="str">
        <f>'Zero Waste Log'!E15</f>
        <v>zip lock plastic bag - snack size</v>
      </c>
      <c r="I9" s="832">
        <f>'Zero Waste Log'!F15</f>
        <v>0</v>
      </c>
      <c r="J9" s="832">
        <f>IF(H9=0,0,VLOOKUP(H9,Conversions!$A$288:$B$296,2,FALSE))</f>
        <v>1.5</v>
      </c>
      <c r="K9" s="832">
        <v>175</v>
      </c>
      <c r="L9" s="831">
        <f t="shared" si="1"/>
        <v>262.5</v>
      </c>
      <c r="M9" s="898" t="str">
        <f>'Zero Waste Log'!G15</f>
        <v>zip lock plastic bag - snack size</v>
      </c>
      <c r="N9" s="832">
        <f>'Zero Waste Log'!H15</f>
        <v>0</v>
      </c>
      <c r="O9" s="832">
        <f>IF(M9=0,0,VLOOKUP(M9,Conversions!$A$288:$B$296,2,FALSE))</f>
        <v>1.5</v>
      </c>
      <c r="P9" s="832">
        <v>175</v>
      </c>
      <c r="Q9" s="897">
        <f t="shared" si="2"/>
        <v>262.5</v>
      </c>
      <c r="R9" s="304" t="str">
        <f>'Zero Waste Log'!I15</f>
        <v>zip lock plastic bag - snack size</v>
      </c>
      <c r="S9" s="832">
        <f>'Zero Waste Log'!J15</f>
        <v>0</v>
      </c>
      <c r="T9" s="832">
        <f>IF(R9=0,0,VLOOKUP(R9,Conversions!$A$288:$B$296,2,FALSE))</f>
        <v>1.5</v>
      </c>
      <c r="U9" s="832">
        <f>IF(OR(R9="zip lock plastic bag - square",R9="zip lock plastic bag - snack size"),178,IF(R9=0,0,(VLOOKUP(S9,Conversions!$A$300:$B$305,2,FALSE))))</f>
        <v>178</v>
      </c>
      <c r="V9" s="832">
        <f t="shared" si="3"/>
        <v>267</v>
      </c>
      <c r="W9" s="832">
        <f t="shared" si="4"/>
        <v>1317</v>
      </c>
      <c r="X9" s="895">
        <f>W9/Conversions!$B$5</f>
        <v>2.9035031636499924</v>
      </c>
      <c r="Y9" s="895">
        <f>W9/Conversions!$B$309/(4.3*5)</f>
        <v>10.209302325581396</v>
      </c>
      <c r="Z9" s="895">
        <f>$X9*Conversions!$B$20</f>
        <v>33.149292707291174</v>
      </c>
      <c r="AA9" s="895">
        <f>($X9*Conversions!$C$20)+(X9*Conversions!$D$48)</f>
        <v>45.320071360950585</v>
      </c>
      <c r="AB9" s="896">
        <f>$X9*Conversions!$D$20</f>
        <v>7.3114530663600075</v>
      </c>
      <c r="AC9" s="883">
        <f>(Conversions!$B$292+Conversions!$B$291+Conversions!$B$290+Conversions!$B$290)*Conversions!$B$304</f>
        <v>384</v>
      </c>
      <c r="AD9" s="895">
        <f>AC9/Conversions!$B$5</f>
        <v>0.846579510130294</v>
      </c>
      <c r="AE9" s="895">
        <f>AC9/Conversions!$B$309/(4.3*5)</f>
        <v>2.9767441860465116</v>
      </c>
      <c r="AF9" s="895">
        <f>$AD9*Conversions!$B$20</f>
        <v>9.665397418071231</v>
      </c>
      <c r="AG9" s="895">
        <f>($AD9*Conversions!$C$20)+(AD9*Conversions!$D$48)</f>
        <v>13.21405269749812</v>
      </c>
      <c r="AH9" s="902">
        <f>$AD9*Conversions!$D$20</f>
        <v>2.131813194747337</v>
      </c>
      <c r="AI9" s="894">
        <f t="shared" si="5"/>
        <v>2.056923653519698</v>
      </c>
      <c r="AJ9" s="893">
        <f t="shared" si="6"/>
        <v>7.232558139534884</v>
      </c>
      <c r="AK9" s="893">
        <f t="shared" si="7"/>
        <v>23.483895289219944</v>
      </c>
      <c r="AL9" s="893">
        <f t="shared" si="8"/>
        <v>32.10601866345247</v>
      </c>
      <c r="AM9" s="892">
        <f t="shared" si="9"/>
        <v>5.17963987161267</v>
      </c>
    </row>
    <row r="10" spans="1:39" ht="38.25">
      <c r="A10" s="891" t="str">
        <f>'Zero Waste Log'!A16</f>
        <v>Student05</v>
      </c>
      <c r="B10" s="890" t="str">
        <f>'Zero Waste Log'!B16</f>
        <v>Y</v>
      </c>
      <c r="C10" s="304" t="str">
        <f>'Zero Waste Log'!C16</f>
        <v>Laptop Lunch - bento box</v>
      </c>
      <c r="D10" s="832" t="str">
        <f>'Zero Waste Log'!D16</f>
        <v>do not lose containers</v>
      </c>
      <c r="E10" s="832">
        <f>IF(C10=0,0,VLOOKUP(C10,Conversions!$A$288:$B$296,2,FALSE))</f>
        <v>400</v>
      </c>
      <c r="F10" s="832">
        <f>IF(OR(C10="zip lock plastic bag - square",C10="zip lock plastic bag - snack size"),178,IF(C10=0,0,(VLOOKUP(D10,Conversions!$A$300:$B$305,2,FALSE))))</f>
        <v>1</v>
      </c>
      <c r="G10" s="897">
        <f>E10*F10</f>
        <v>400</v>
      </c>
      <c r="H10" s="304" t="str">
        <f>'Zero Waste Log'!E16</f>
        <v>Laptop Lunch - water bottle</v>
      </c>
      <c r="I10" s="832" t="str">
        <f>'Zero Waste Log'!F16</f>
        <v>do not lose containers</v>
      </c>
      <c r="J10" s="832">
        <f>IF(H10=0,0,VLOOKUP(H10,Conversions!$A$288:$B$296,2,FALSE))</f>
        <v>37</v>
      </c>
      <c r="K10" s="832">
        <f>IF(OR(H10="zip lock plastic bag - square",H10="zip lock plastic bag - snack size"),178,IF(H10=0,0,(VLOOKUP(I10,Conversions!$A$300:$B$305,2,FALSE))))</f>
        <v>1</v>
      </c>
      <c r="L10" s="831">
        <f t="shared" si="1"/>
        <v>37</v>
      </c>
      <c r="M10" s="898">
        <f>'Zero Waste Log'!G16</f>
        <v>0</v>
      </c>
      <c r="N10" s="832">
        <f>'Zero Waste Log'!H16</f>
        <v>0</v>
      </c>
      <c r="O10" s="832">
        <f>IF(M10=0,0,VLOOKUP(M10,Conversions!$A$288:$B$296,2,FALSE))</f>
        <v>0</v>
      </c>
      <c r="P10" s="832">
        <f>IF(OR(M10="zip lock plastic bag - square",M10="zip lock plastic bag - snack size"),178,IF(M10=0,0,(VLOOKUP(N10,Conversions!$A$300:$B$305,2,FALSE))))</f>
        <v>0</v>
      </c>
      <c r="Q10" s="897">
        <f t="shared" si="2"/>
        <v>0</v>
      </c>
      <c r="R10" s="304">
        <f>'Zero Waste Log'!I16</f>
        <v>0</v>
      </c>
      <c r="S10" s="832">
        <f>'Zero Waste Log'!J16</f>
        <v>0</v>
      </c>
      <c r="T10" s="832">
        <f>IF(R10=0,0,VLOOKUP(R10,Conversions!$A$288:$B$296,2,FALSE))</f>
        <v>0</v>
      </c>
      <c r="U10" s="832">
        <f>IF(OR(R10="zip lock plastic bag - square",R10="zip lock plastic bag - snack size"),178,IF(R10=0,0,(VLOOKUP(S10,Conversions!$A$300:$B$305,2,FALSE))))</f>
        <v>0</v>
      </c>
      <c r="V10" s="832">
        <f t="shared" si="3"/>
        <v>0</v>
      </c>
      <c r="W10" s="832">
        <f t="shared" si="4"/>
        <v>437</v>
      </c>
      <c r="X10" s="895">
        <f>W10/Conversions!$B$5</f>
        <v>0.9634251196014022</v>
      </c>
      <c r="Y10" s="895">
        <f>W10/Conversions!$B$309/(4.3*5)</f>
        <v>3.387596899224806</v>
      </c>
      <c r="Z10" s="895">
        <f>$X10*Conversions!$B$20</f>
        <v>10.99942362421127</v>
      </c>
      <c r="AA10" s="895">
        <f>($X10*Conversions!$C$20)+(X10*Conversions!$D$48)</f>
        <v>15.037867262517393</v>
      </c>
      <c r="AB10" s="896">
        <f>$X10*Conversions!$D$20</f>
        <v>2.42604782839736</v>
      </c>
      <c r="AC10" s="883">
        <f>(Conversions!$B$292+Conversions!$B$291+Conversions!$B$290+Conversions!$B$290)*Conversions!$B$304</f>
        <v>384</v>
      </c>
      <c r="AD10" s="895">
        <f>AC10/Conversions!$B$5</f>
        <v>0.846579510130294</v>
      </c>
      <c r="AE10" s="895">
        <f>AC10/Conversions!$B$309/(4.3*5)</f>
        <v>2.9767441860465116</v>
      </c>
      <c r="AF10" s="895">
        <f>$AD10*Conversions!$B$20</f>
        <v>9.665397418071231</v>
      </c>
      <c r="AG10" s="895">
        <f>($AD10*Conversions!$C$20)+(AD10*Conversions!$D$48)</f>
        <v>13.21405269749812</v>
      </c>
      <c r="AH10" s="902">
        <f>$AD10*Conversions!$D$20</f>
        <v>2.131813194747337</v>
      </c>
      <c r="AI10" s="894">
        <f t="shared" si="5"/>
        <v>0.11684560947110822</v>
      </c>
      <c r="AJ10" s="893">
        <f t="shared" si="6"/>
        <v>0.4108527131782944</v>
      </c>
      <c r="AK10" s="893">
        <f t="shared" si="7"/>
        <v>1.334026206140038</v>
      </c>
      <c r="AL10" s="893">
        <f t="shared" si="8"/>
        <v>1.8238145650192727</v>
      </c>
      <c r="AM10" s="892">
        <f t="shared" si="9"/>
        <v>0.294234633650023</v>
      </c>
    </row>
    <row r="11" spans="1:39" ht="12.75">
      <c r="A11" s="891" t="str">
        <f>'Zero Waste Log'!A17</f>
        <v>Student06</v>
      </c>
      <c r="B11" s="890" t="str">
        <f>'Zero Waste Log'!B17</f>
        <v>n</v>
      </c>
      <c r="C11" s="304">
        <f>'Zero Waste Log'!C17</f>
        <v>0</v>
      </c>
      <c r="D11" s="832">
        <f>'Zero Waste Log'!D17</f>
        <v>0</v>
      </c>
      <c r="E11" s="832">
        <f>IF(C11=0,0,VLOOKUP(C11,Conversions!$A$288:$B$296,2,FALSE))</f>
        <v>0</v>
      </c>
      <c r="F11" s="832">
        <f>IF(OR(C11="zip lock plastic bag - square",C11="zip lock plastic bag - snack size"),178,IF(C11=0,0,(VLOOKUP(D11,Conversions!$A$300:$B$305,2,FALSE))))</f>
        <v>0</v>
      </c>
      <c r="G11" s="897">
        <f t="shared" si="0"/>
        <v>0</v>
      </c>
      <c r="H11" s="304">
        <f>'Zero Waste Log'!E17</f>
        <v>0</v>
      </c>
      <c r="I11" s="832">
        <f>'Zero Waste Log'!F17</f>
        <v>0</v>
      </c>
      <c r="J11" s="832">
        <f>IF(H11=0,0,VLOOKUP(H11,Conversions!$A$288:$B$296,2,FALSE))</f>
        <v>0</v>
      </c>
      <c r="K11" s="832">
        <f>IF(OR(H11="zip lock plastic bag - square",H11="zip lock plastic bag - snack size"),178,IF(H11=0,0,(VLOOKUP(I11,Conversions!$A$300:$B$305,2,FALSE))))</f>
        <v>0</v>
      </c>
      <c r="L11" s="831">
        <f t="shared" si="1"/>
        <v>0</v>
      </c>
      <c r="M11" s="898">
        <f>'Zero Waste Log'!G17</f>
        <v>0</v>
      </c>
      <c r="N11" s="832">
        <f>'Zero Waste Log'!H17</f>
        <v>0</v>
      </c>
      <c r="O11" s="832">
        <f>IF(M11=0,0,VLOOKUP(M11,Conversions!$A$288:$B$296,2,FALSE))</f>
        <v>0</v>
      </c>
      <c r="P11" s="832">
        <f>IF(OR(M11="zip lock plastic bag - square",M11="zip lock plastic bag - snack size"),178,IF(M11=0,0,(VLOOKUP(N11,Conversions!$A$300:$B$305,2,FALSE))))</f>
        <v>0</v>
      </c>
      <c r="Q11" s="897">
        <f t="shared" si="2"/>
        <v>0</v>
      </c>
      <c r="R11" s="304">
        <f>'Zero Waste Log'!I17</f>
        <v>0</v>
      </c>
      <c r="S11" s="832">
        <f>'Zero Waste Log'!J17</f>
        <v>0</v>
      </c>
      <c r="T11" s="832">
        <f>IF(R11=0,0,VLOOKUP(R11,Conversions!$A$288:$B$296,2,FALSE))</f>
        <v>0</v>
      </c>
      <c r="U11" s="832">
        <f>IF(OR(R11="zip lock plastic bag - square",R11="zip lock plastic bag - snack size"),178,IF(R11=0,0,(VLOOKUP(S11,Conversions!$A$300:$B$305,2,FALSE))))</f>
        <v>0</v>
      </c>
      <c r="V11" s="832">
        <f t="shared" si="3"/>
        <v>0</v>
      </c>
      <c r="W11" s="832">
        <f t="shared" si="4"/>
        <v>0</v>
      </c>
      <c r="X11" s="895">
        <f>W11/Conversions!$B$5</f>
        <v>0</v>
      </c>
      <c r="Y11" s="895">
        <f>W11/Conversions!$B$309/(4.3*5)</f>
        <v>0</v>
      </c>
      <c r="Z11" s="895">
        <f>$X11*Conversions!$B$20</f>
        <v>0</v>
      </c>
      <c r="AA11" s="895">
        <f>($X11*Conversions!$C$20)+(X11*Conversions!$D$48)</f>
        <v>0</v>
      </c>
      <c r="AB11" s="896">
        <f>$X11*Conversions!$D$20</f>
        <v>0</v>
      </c>
      <c r="AC11" s="883">
        <f>(Conversions!$B$292+Conversions!$B$291+Conversions!$B$290+Conversions!$B$290)*Conversions!$B$304</f>
        <v>384</v>
      </c>
      <c r="AD11" s="895">
        <f>AC11/Conversions!$B$5</f>
        <v>0.846579510130294</v>
      </c>
      <c r="AE11" s="895">
        <f>AC11/Conversions!$B$309/(4.3*5)</f>
        <v>2.9767441860465116</v>
      </c>
      <c r="AF11" s="895">
        <f>$AD11*Conversions!$B$20</f>
        <v>9.665397418071231</v>
      </c>
      <c r="AG11" s="895">
        <f>($AD11*Conversions!$C$20)+(AD11*Conversions!$D$48)</f>
        <v>13.21405269749812</v>
      </c>
      <c r="AH11" s="902">
        <f>$AD11*Conversions!$D$20</f>
        <v>2.131813194747337</v>
      </c>
      <c r="AI11" s="894">
        <f t="shared" si="5"/>
        <v>0</v>
      </c>
      <c r="AJ11" s="893">
        <f t="shared" si="6"/>
        <v>0</v>
      </c>
      <c r="AK11" s="893">
        <f t="shared" si="7"/>
        <v>0</v>
      </c>
      <c r="AL11" s="893">
        <f t="shared" si="8"/>
        <v>0</v>
      </c>
      <c r="AM11" s="892">
        <f t="shared" si="9"/>
        <v>0</v>
      </c>
    </row>
    <row r="12" spans="1:39" ht="38.25">
      <c r="A12" s="891" t="str">
        <f>'Zero Waste Log'!A18</f>
        <v>Student07</v>
      </c>
      <c r="B12" s="890" t="str">
        <f>'Zero Waste Log'!B18</f>
        <v>y</v>
      </c>
      <c r="C12" s="304" t="str">
        <f>'Zero Waste Log'!C18</f>
        <v>rubber maid - 14 oz cylinder</v>
      </c>
      <c r="D12" s="832" t="str">
        <f>'Zero Waste Log'!D18</f>
        <v>once every other month</v>
      </c>
      <c r="E12" s="832">
        <f>IF(C12=0,0,VLOOKUP(C12,Conversions!$A$288:$B$296,2,FALSE))</f>
        <v>68</v>
      </c>
      <c r="F12" s="832">
        <f>IF(OR(C12="zip lock plastic bag - square",C12="zip lock plastic bag - snack size"),178,IF(C12=0,0,(VLOOKUP(D12,Conversions!$A$300:$B$305,2,FALSE))))</f>
        <v>5.5</v>
      </c>
      <c r="G12" s="897">
        <f t="shared" si="0"/>
        <v>374</v>
      </c>
      <c r="H12" s="304" t="str">
        <f>'Zero Waste Log'!E18</f>
        <v>Rubbermaid - 1.25 cups</v>
      </c>
      <c r="I12" s="832" t="str">
        <f>'Zero Waste Log'!F18</f>
        <v>once every third month</v>
      </c>
      <c r="J12" s="832">
        <f>IF(H12=0,0,VLOOKUP(H12,Conversions!$A$288:$B$296,2,FALSE))</f>
        <v>58</v>
      </c>
      <c r="K12" s="832">
        <f>IF(OR(H12="zip lock plastic bag - square",H12="zip lock plastic bag - snack size"),178,IF(H12=0,0,(VLOOKUP(I12,Conversions!$A$300:$B$305,2,FALSE))))</f>
        <v>4</v>
      </c>
      <c r="L12" s="831">
        <f t="shared" si="1"/>
        <v>232</v>
      </c>
      <c r="M12" s="898" t="str">
        <f>'Zero Waste Log'!G18</f>
        <v>Rubbermaid - 1.25 cups</v>
      </c>
      <c r="N12" s="832" t="str">
        <f>'Zero Waste Log'!H18</f>
        <v>once every other month</v>
      </c>
      <c r="O12" s="832">
        <f>IF(M12=0,0,VLOOKUP(M12,Conversions!$A$288:$B$296,2,FALSE))</f>
        <v>58</v>
      </c>
      <c r="P12" s="832">
        <f>IF(OR(M12="zip lock plastic bag - square",M12="zip lock plastic bag - snack size"),178,IF(M12=0,0,(VLOOKUP(N12,Conversions!$A$300:$B$305,2,FALSE))))</f>
        <v>5.5</v>
      </c>
      <c r="Q12" s="897">
        <f t="shared" si="2"/>
        <v>319</v>
      </c>
      <c r="R12" s="304">
        <f>'Zero Waste Log'!I18</f>
        <v>0</v>
      </c>
      <c r="S12" s="832">
        <f>'Zero Waste Log'!J18</f>
        <v>0</v>
      </c>
      <c r="T12" s="832">
        <f>IF(R12=0,0,VLOOKUP(R12,Conversions!$A$288:$B$296,2,FALSE))</f>
        <v>0</v>
      </c>
      <c r="U12" s="832">
        <f>IF(OR(R12="zip lock plastic bag - square",R12="zip lock plastic bag - snack size"),178,IF(R12=0,0,(VLOOKUP(S12,Conversions!$A$300:$B$305,2,FALSE))))</f>
        <v>0</v>
      </c>
      <c r="V12" s="832">
        <f t="shared" si="3"/>
        <v>0</v>
      </c>
      <c r="W12" s="832">
        <f t="shared" si="4"/>
        <v>925</v>
      </c>
      <c r="X12" s="895">
        <f>W12/Conversions!$B$5</f>
        <v>2.039286580391984</v>
      </c>
      <c r="Y12" s="895">
        <f>W12/Conversions!$B$309/(4.3*5)</f>
        <v>7.170542635658914</v>
      </c>
      <c r="Z12" s="895">
        <f>$X12*Conversions!$B$20</f>
        <v>23.282532843010124</v>
      </c>
      <c r="AA12" s="895">
        <f>($X12*Conversions!$C$20)+(X12*Conversions!$D$48)</f>
        <v>31.830725898921255</v>
      </c>
      <c r="AB12" s="896">
        <f>$X12*Conversions!$D$20</f>
        <v>5.135227096722101</v>
      </c>
      <c r="AC12" s="883">
        <f>(Conversions!$B$292+Conversions!$B$291+Conversions!$B$290+Conversions!$B$290)*Conversions!$B$304</f>
        <v>384</v>
      </c>
      <c r="AD12" s="895">
        <f>AC12/Conversions!$B$5</f>
        <v>0.846579510130294</v>
      </c>
      <c r="AE12" s="895">
        <f>AC12/Conversions!$B$309/(4.3*5)</f>
        <v>2.9767441860465116</v>
      </c>
      <c r="AF12" s="895">
        <f>$AD12*Conversions!$B$20</f>
        <v>9.665397418071231</v>
      </c>
      <c r="AG12" s="895">
        <f>($AD12*Conversions!$C$20)+(AD12*Conversions!$D$48)</f>
        <v>13.21405269749812</v>
      </c>
      <c r="AH12" s="902">
        <f>$AD12*Conversions!$D$20</f>
        <v>2.131813194747337</v>
      </c>
      <c r="AI12" s="894">
        <f t="shared" si="5"/>
        <v>1.19270707026169</v>
      </c>
      <c r="AJ12" s="893">
        <f t="shared" si="6"/>
        <v>4.193798449612403</v>
      </c>
      <c r="AK12" s="893">
        <f t="shared" si="7"/>
        <v>13.617135424938892</v>
      </c>
      <c r="AL12" s="893">
        <f t="shared" si="8"/>
        <v>18.616673201423133</v>
      </c>
      <c r="AM12" s="892">
        <f t="shared" si="9"/>
        <v>3.003413901974764</v>
      </c>
    </row>
    <row r="13" spans="1:39" ht="38.25">
      <c r="A13" s="891" t="str">
        <f>'Zero Waste Log'!A19</f>
        <v>Student08</v>
      </c>
      <c r="B13" s="890" t="str">
        <f>'Zero Waste Log'!B19</f>
        <v>Y</v>
      </c>
      <c r="C13" s="304" t="str">
        <f>'Zero Waste Log'!C19</f>
        <v>rubber maid - square for sandwich</v>
      </c>
      <c r="D13" s="832" t="str">
        <f>'Zero Waste Log'!D19</f>
        <v>once a semester</v>
      </c>
      <c r="E13" s="832">
        <f>IF(C13=0,0,VLOOKUP(C13,Conversions!$A$288:$B$296,2,FALSE))</f>
        <v>88</v>
      </c>
      <c r="F13" s="832">
        <f>IF(OR(C13="zip lock plastic bag - square",C13="zip lock plastic bag - snack size"),178,IF(C13=0,0,(VLOOKUP(D13,Conversions!$A$300:$B$305,2,FALSE))))</f>
        <v>3</v>
      </c>
      <c r="G13" s="897">
        <f t="shared" si="0"/>
        <v>264</v>
      </c>
      <c r="H13" s="304" t="str">
        <f>'Zero Waste Log'!E19</f>
        <v>Rubbermaid - 4 oz</v>
      </c>
      <c r="I13" s="832" t="str">
        <f>'Zero Waste Log'!F19</f>
        <v>once a semester</v>
      </c>
      <c r="J13" s="832">
        <f>IF(H13=0,0,VLOOKUP(H13,Conversions!$A$288:$B$296,2,FALSE))</f>
        <v>23</v>
      </c>
      <c r="K13" s="832">
        <f>IF(OR(H13="zip lock plastic bag - square",H13="zip lock plastic bag - snack size"),178,IF(H13=0,0,(VLOOKUP(I13,Conversions!$A$300:$B$305,2,FALSE))))</f>
        <v>3</v>
      </c>
      <c r="L13" s="831">
        <f t="shared" si="1"/>
        <v>69</v>
      </c>
      <c r="M13" s="898" t="str">
        <f>'Zero Waste Log'!G19</f>
        <v>Rubbermaid - 1.25 cups</v>
      </c>
      <c r="N13" s="832" t="str">
        <f>'Zero Waste Log'!H19</f>
        <v>once a semester</v>
      </c>
      <c r="O13" s="832">
        <f>IF(M13=0,0,VLOOKUP(M13,Conversions!$A$288:$B$296,2,FALSE))</f>
        <v>58</v>
      </c>
      <c r="P13" s="832">
        <f>IF(OR(M13="zip lock plastic bag - square",M13="zip lock plastic bag - snack size"),178,IF(M13=0,0,(VLOOKUP(N13,Conversions!$A$300:$B$305,2,FALSE))))</f>
        <v>3</v>
      </c>
      <c r="Q13" s="897">
        <f t="shared" si="2"/>
        <v>174</v>
      </c>
      <c r="R13" s="304" t="str">
        <f>'Zero Waste Log'!I19</f>
        <v>Rubbermaid - 1.25 cups</v>
      </c>
      <c r="S13" s="832" t="str">
        <f>'Zero Waste Log'!J19</f>
        <v>once a semester</v>
      </c>
      <c r="T13" s="832">
        <f>IF(R13=0,0,VLOOKUP(R13,Conversions!$A$288:$B$296,2,FALSE))</f>
        <v>58</v>
      </c>
      <c r="U13" s="832">
        <f>IF(OR(R13="zip lock plastic bag - square",R13="zip lock plastic bag - snack size"),178,IF(R13=0,0,(VLOOKUP(S13,Conversions!$A$300:$B$305,2,FALSE))))</f>
        <v>3</v>
      </c>
      <c r="V13" s="832">
        <f t="shared" si="3"/>
        <v>174</v>
      </c>
      <c r="W13" s="832">
        <f t="shared" si="4"/>
        <v>681</v>
      </c>
      <c r="X13" s="895">
        <f>W13/Conversions!$B$5</f>
        <v>1.501355849996693</v>
      </c>
      <c r="Y13" s="895">
        <f>W13/Conversions!$B$309/(4.3*5)</f>
        <v>5.27906976744186</v>
      </c>
      <c r="Z13" s="895">
        <f>$X13*Conversions!$B$20</f>
        <v>17.140978233610696</v>
      </c>
      <c r="AA13" s="895">
        <f>($X13*Conversions!$C$20)+(X13*Conversions!$D$48)</f>
        <v>23.434296580719323</v>
      </c>
      <c r="AB13" s="896">
        <f>$X13*Conversions!$D$20</f>
        <v>3.7806374625597305</v>
      </c>
      <c r="AC13" s="883">
        <f>(Conversions!$B$292+Conversions!$B$291+Conversions!$B$290+Conversions!$B$290)*Conversions!$B$304</f>
        <v>384</v>
      </c>
      <c r="AD13" s="895">
        <f>AC13/Conversions!$B$5</f>
        <v>0.846579510130294</v>
      </c>
      <c r="AE13" s="895">
        <f>AC13/Conversions!$B$309/(4.3*5)</f>
        <v>2.9767441860465116</v>
      </c>
      <c r="AF13" s="895">
        <f>$AD13*Conversions!$B$20</f>
        <v>9.665397418071231</v>
      </c>
      <c r="AG13" s="895">
        <f>($AD13*Conversions!$C$20)+(AD13*Conversions!$D$48)</f>
        <v>13.21405269749812</v>
      </c>
      <c r="AH13" s="902">
        <f>$AD13*Conversions!$D$20</f>
        <v>2.131813194747337</v>
      </c>
      <c r="AI13" s="894">
        <f t="shared" si="5"/>
        <v>0.654776339866399</v>
      </c>
      <c r="AJ13" s="893">
        <f t="shared" si="6"/>
        <v>2.3023255813953485</v>
      </c>
      <c r="AK13" s="893">
        <f t="shared" si="7"/>
        <v>7.475580815539464</v>
      </c>
      <c r="AL13" s="893">
        <f t="shared" si="8"/>
        <v>10.220243883221203</v>
      </c>
      <c r="AM13" s="892">
        <f t="shared" si="9"/>
        <v>1.6488242678123934</v>
      </c>
    </row>
    <row r="14" spans="1:39" ht="38.25">
      <c r="A14" s="891" t="str">
        <f>'Zero Waste Log'!A20</f>
        <v>Student09</v>
      </c>
      <c r="B14" s="890" t="str">
        <f>'Zero Waste Log'!B20</f>
        <v>Y</v>
      </c>
      <c r="C14" s="304" t="str">
        <f>'Zero Waste Log'!C20</f>
        <v>zip lock plastic bag - square</v>
      </c>
      <c r="D14" s="832">
        <f>'Zero Waste Log'!D20</f>
        <v>0</v>
      </c>
      <c r="E14" s="832">
        <f>IF(C14=0,0,VLOOKUP(C14,Conversions!$A$288:$B$296,2,FALSE))</f>
        <v>3</v>
      </c>
      <c r="F14" s="832">
        <f>IF(OR(C14="zip lock plastic bag - square",C14="zip lock plastic bag - snack size"),178,IF(C14=0,0,(VLOOKUP(D14,Conversions!$A$300:$B$305,2,FALSE))))</f>
        <v>178</v>
      </c>
      <c r="G14" s="897">
        <f t="shared" si="0"/>
        <v>534</v>
      </c>
      <c r="H14" s="304" t="str">
        <f>'Zero Waste Log'!E20</f>
        <v>zip lock plastic bag - square</v>
      </c>
      <c r="I14" s="832">
        <f>'Zero Waste Log'!F20</f>
        <v>0</v>
      </c>
      <c r="J14" s="832">
        <f>IF(H14=0,0,VLOOKUP(H14,Conversions!$A$288:$B$296,2,FALSE))</f>
        <v>3</v>
      </c>
      <c r="K14" s="832">
        <f>IF(OR(H14="zip lock plastic bag - square",H14="zip lock plastic bag - snack size"),178,IF(H14=0,0,(VLOOKUP(I14,Conversions!$A$300:$B$305,2,FALSE))))</f>
        <v>178</v>
      </c>
      <c r="L14" s="831">
        <f t="shared" si="1"/>
        <v>534</v>
      </c>
      <c r="M14" s="898" t="str">
        <f>'Zero Waste Log'!G20</f>
        <v>zip lock plastic bag - snack size</v>
      </c>
      <c r="N14" s="832">
        <f>'Zero Waste Log'!H20</f>
        <v>0</v>
      </c>
      <c r="O14" s="832">
        <f>IF(M14=0,0,VLOOKUP(M14,Conversions!$A$288:$B$296,2,FALSE))</f>
        <v>1.5</v>
      </c>
      <c r="P14" s="832">
        <f>IF(OR(M14="zip lock plastic bag - square",M14="zip lock plastic bag - snack size"),178,IF(M14=0,0,(VLOOKUP(N14,Conversions!$A$300:$B$305,2,FALSE))))</f>
        <v>178</v>
      </c>
      <c r="Q14" s="897">
        <f t="shared" si="2"/>
        <v>267</v>
      </c>
      <c r="R14" s="304">
        <f>'Zero Waste Log'!I20</f>
        <v>0</v>
      </c>
      <c r="S14" s="832">
        <f>'Zero Waste Log'!J20</f>
        <v>0</v>
      </c>
      <c r="T14" s="832">
        <f>IF(R14=0,0,VLOOKUP(R14,Conversions!$A$288:$B$296,2,FALSE))</f>
        <v>0</v>
      </c>
      <c r="U14" s="832">
        <f>IF(OR(R14="zip lock plastic bag - square",R14="zip lock plastic bag - snack size"),178,IF(R14=0,0,(VLOOKUP(S14,Conversions!$A$300:$B$305,2,FALSE))))</f>
        <v>0</v>
      </c>
      <c r="V14" s="832">
        <f t="shared" si="3"/>
        <v>0</v>
      </c>
      <c r="W14" s="832">
        <f t="shared" si="4"/>
        <v>1335</v>
      </c>
      <c r="X14" s="895">
        <f>W14/Conversions!$B$5</f>
        <v>2.94318657818735</v>
      </c>
      <c r="Y14" s="895">
        <f>W14/Conversions!$B$309/(4.3*5)</f>
        <v>10.348837209302326</v>
      </c>
      <c r="Z14" s="895">
        <f>$X14*Conversions!$B$20</f>
        <v>33.60235821126326</v>
      </c>
      <c r="AA14" s="895">
        <f>($X14*Conversions!$C$20)+(X14*Conversions!$D$48)</f>
        <v>45.93948008114581</v>
      </c>
      <c r="AB14" s="896">
        <f>$X14*Conversions!$D$20</f>
        <v>7.411381809863789</v>
      </c>
      <c r="AC14" s="883">
        <f>(Conversions!$B$292+Conversions!$B$291+Conversions!$B$290+Conversions!$B$290)*Conversions!$B$304</f>
        <v>384</v>
      </c>
      <c r="AD14" s="895">
        <f>AC14/Conversions!$B$5</f>
        <v>0.846579510130294</v>
      </c>
      <c r="AE14" s="895">
        <f>AC14/Conversions!$B$309/(4.3*5)</f>
        <v>2.9767441860465116</v>
      </c>
      <c r="AF14" s="895">
        <f>$AD14*Conversions!$B$20</f>
        <v>9.665397418071231</v>
      </c>
      <c r="AG14" s="895">
        <f>($AD14*Conversions!$C$20)+(AD14*Conversions!$D$48)</f>
        <v>13.21405269749812</v>
      </c>
      <c r="AH14" s="902">
        <f>$AD14*Conversions!$D$20</f>
        <v>2.131813194747337</v>
      </c>
      <c r="AI14" s="894">
        <f t="shared" si="5"/>
        <v>2.0966070680570557</v>
      </c>
      <c r="AJ14" s="893">
        <f t="shared" si="6"/>
        <v>7.372093023255815</v>
      </c>
      <c r="AK14" s="893">
        <f t="shared" si="7"/>
        <v>23.93696079319203</v>
      </c>
      <c r="AL14" s="893">
        <f t="shared" si="8"/>
        <v>32.72542738364769</v>
      </c>
      <c r="AM14" s="892">
        <f t="shared" si="9"/>
        <v>5.279568615116451</v>
      </c>
    </row>
    <row r="15" spans="1:39" ht="38.25">
      <c r="A15" s="891" t="str">
        <f>'Zero Waste Log'!A21</f>
        <v>Student10</v>
      </c>
      <c r="B15" s="890" t="str">
        <f>'Zero Waste Log'!B21</f>
        <v>Y</v>
      </c>
      <c r="C15" s="304" t="str">
        <f>'Zero Waste Log'!C21</f>
        <v>zip lock plastic bag - square</v>
      </c>
      <c r="D15" s="832">
        <f>'Zero Waste Log'!D21</f>
        <v>0</v>
      </c>
      <c r="E15" s="832">
        <f>IF(C15=0,0,VLOOKUP(C15,Conversions!$A$288:$B$296,2,FALSE))</f>
        <v>3</v>
      </c>
      <c r="F15" s="832">
        <f>IF(OR(C15="zip lock plastic bag - square",C15="zip lock plastic bag - snack size"),178,IF(C15=0,0,(VLOOKUP(D15,Conversions!$A$300:$B$305,2,FALSE))))</f>
        <v>178</v>
      </c>
      <c r="G15" s="897">
        <f t="shared" si="0"/>
        <v>534</v>
      </c>
      <c r="H15" s="304" t="str">
        <f>'Zero Waste Log'!E21</f>
        <v>zip lock plastic bag - snack size</v>
      </c>
      <c r="I15" s="832">
        <f>'Zero Waste Log'!F21</f>
        <v>0</v>
      </c>
      <c r="J15" s="832">
        <f>IF(H15=0,0,VLOOKUP(H15,Conversions!$A$288:$B$296,2,FALSE))</f>
        <v>1.5</v>
      </c>
      <c r="K15" s="832">
        <f>IF(OR(H15="zip lock plastic bag - square",H15="zip lock plastic bag - snack size"),178,IF(H15=0,0,(VLOOKUP(I15,Conversions!$A$300:$B$305,2,FALSE))))</f>
        <v>178</v>
      </c>
      <c r="L15" s="831">
        <f t="shared" si="1"/>
        <v>267</v>
      </c>
      <c r="M15" s="898" t="str">
        <f>'Zero Waste Log'!G21</f>
        <v>zip lock plastic bag - snack size</v>
      </c>
      <c r="N15" s="832">
        <f>'Zero Waste Log'!H21</f>
        <v>0</v>
      </c>
      <c r="O15" s="832">
        <f>IF(M15=0,0,VLOOKUP(M15,Conversions!$A$288:$B$296,2,FALSE))</f>
        <v>1.5</v>
      </c>
      <c r="P15" s="832">
        <f>IF(OR(M15="zip lock plastic bag - square",M15="zip lock plastic bag - snack size"),178,IF(M15=0,0,(VLOOKUP(N15,Conversions!$A$300:$B$305,2,FALSE))))</f>
        <v>178</v>
      </c>
      <c r="Q15" s="897">
        <f t="shared" si="2"/>
        <v>267</v>
      </c>
      <c r="R15" s="304" t="str">
        <f>'Zero Waste Log'!I21</f>
        <v>zip lock plastic bag - snack size</v>
      </c>
      <c r="S15" s="832">
        <f>'Zero Waste Log'!J21</f>
        <v>0</v>
      </c>
      <c r="T15" s="832">
        <f>IF(R15=0,0,VLOOKUP(R15,Conversions!$A$288:$B$296,2,FALSE))</f>
        <v>1.5</v>
      </c>
      <c r="U15" s="832">
        <f>IF(OR(R15="zip lock plastic bag - square",R15="zip lock plastic bag - snack size"),178,IF(R15=0,0,(VLOOKUP(S15,Conversions!$A$300:$B$305,2,FALSE))))</f>
        <v>178</v>
      </c>
      <c r="V15" s="832">
        <f t="shared" si="3"/>
        <v>267</v>
      </c>
      <c r="W15" s="832">
        <f t="shared" si="4"/>
        <v>1335</v>
      </c>
      <c r="X15" s="895">
        <f>W15/Conversions!$B$5</f>
        <v>2.94318657818735</v>
      </c>
      <c r="Y15" s="895">
        <f>W15/Conversions!$B$309/(4.3*5)</f>
        <v>10.348837209302326</v>
      </c>
      <c r="Z15" s="895">
        <f>$X15*Conversions!$B$20</f>
        <v>33.60235821126326</v>
      </c>
      <c r="AA15" s="895">
        <f>($X15*Conversions!$C$20)+(X15*Conversions!$D$48)</f>
        <v>45.93948008114581</v>
      </c>
      <c r="AB15" s="896">
        <f>$X15*Conversions!$D$20</f>
        <v>7.411381809863789</v>
      </c>
      <c r="AC15" s="883">
        <f>(Conversions!$B$292+Conversions!$B$291+Conversions!$B$290+Conversions!$B$290)*Conversions!$B$304</f>
        <v>384</v>
      </c>
      <c r="AD15" s="895">
        <f>AC15/Conversions!$B$5</f>
        <v>0.846579510130294</v>
      </c>
      <c r="AE15" s="895">
        <f>AC15/Conversions!$B$309/(4.3*5)</f>
        <v>2.9767441860465116</v>
      </c>
      <c r="AF15" s="895">
        <f>$AD15*Conversions!$B$20</f>
        <v>9.665397418071231</v>
      </c>
      <c r="AG15" s="895">
        <f>($AD15*Conversions!$C$20)+(AD15*Conversions!$D$48)</f>
        <v>13.21405269749812</v>
      </c>
      <c r="AH15" s="902">
        <f>$AD15*Conversions!$D$20</f>
        <v>2.131813194747337</v>
      </c>
      <c r="AI15" s="894">
        <f t="shared" si="5"/>
        <v>2.0966070680570557</v>
      </c>
      <c r="AJ15" s="893">
        <f t="shared" si="6"/>
        <v>7.372093023255815</v>
      </c>
      <c r="AK15" s="893">
        <f t="shared" si="7"/>
        <v>23.93696079319203</v>
      </c>
      <c r="AL15" s="893">
        <f t="shared" si="8"/>
        <v>32.72542738364769</v>
      </c>
      <c r="AM15" s="892">
        <f t="shared" si="9"/>
        <v>5.279568615116451</v>
      </c>
    </row>
    <row r="16" spans="1:39" ht="38.25">
      <c r="A16" s="891" t="str">
        <f>'Zero Waste Log'!A22</f>
        <v>Student11</v>
      </c>
      <c r="B16" s="890" t="str">
        <f>'Zero Waste Log'!B22</f>
        <v>Y</v>
      </c>
      <c r="C16" s="304" t="str">
        <f>'Zero Waste Log'!C22</f>
        <v>Laptop Lunch - bento box</v>
      </c>
      <c r="D16" s="832" t="str">
        <f>'Zero Waste Log'!D22</f>
        <v>do not lose containers</v>
      </c>
      <c r="E16" s="832">
        <f>IF(C16=0,0,VLOOKUP(C16,Conversions!$A$288:$B$296,2,FALSE))</f>
        <v>400</v>
      </c>
      <c r="F16" s="832">
        <f>IF(OR(C16="zip lock plastic bag - square",C16="zip lock plastic bag - snack size"),178,IF(C16=0,0,(VLOOKUP(D16,Conversions!$A$300:$B$305,2,FALSE))))</f>
        <v>1</v>
      </c>
      <c r="G16" s="897">
        <f t="shared" si="0"/>
        <v>400</v>
      </c>
      <c r="H16" s="304" t="str">
        <f>'Zero Waste Log'!E22</f>
        <v>Laptop Lunch - water bottle</v>
      </c>
      <c r="I16" s="832" t="str">
        <f>'Zero Waste Log'!F22</f>
        <v>do not lose containers</v>
      </c>
      <c r="J16" s="832">
        <f>IF(H16=0,0,VLOOKUP(H16,Conversions!$A$288:$B$296,2,FALSE))</f>
        <v>37</v>
      </c>
      <c r="K16" s="832">
        <f>IF(OR(H16="zip lock plastic bag - square",H16="zip lock plastic bag - snack size"),178,IF(H16=0,0,(VLOOKUP(I16,Conversions!$A$300:$B$305,2,FALSE))))</f>
        <v>1</v>
      </c>
      <c r="L16" s="831">
        <f t="shared" si="1"/>
        <v>37</v>
      </c>
      <c r="M16" s="898">
        <f>'Zero Waste Log'!G22</f>
        <v>0</v>
      </c>
      <c r="N16" s="832">
        <f>'Zero Waste Log'!H22</f>
        <v>0</v>
      </c>
      <c r="O16" s="832">
        <f>IF(M16=0,0,VLOOKUP(M16,Conversions!$A$288:$B$296,2,FALSE))</f>
        <v>0</v>
      </c>
      <c r="P16" s="832">
        <f>IF(OR(M16="zip lock plastic bag - square",M16="zip lock plastic bag - snack size"),178,IF(M16=0,0,(VLOOKUP(N16,Conversions!$A$300:$B$305,2,FALSE))))</f>
        <v>0</v>
      </c>
      <c r="Q16" s="897">
        <f t="shared" si="2"/>
        <v>0</v>
      </c>
      <c r="R16" s="304">
        <f>'Zero Waste Log'!I22</f>
        <v>0</v>
      </c>
      <c r="S16" s="832">
        <f>'Zero Waste Log'!J22</f>
        <v>0</v>
      </c>
      <c r="T16" s="832">
        <f>IF(R16=0,0,VLOOKUP(R16,Conversions!$A$288:$B$296,2,FALSE))</f>
        <v>0</v>
      </c>
      <c r="U16" s="832">
        <f>IF(OR(R16="zip lock plastic bag - square",R16="zip lock plastic bag - snack size"),178,IF(R16=0,0,(VLOOKUP(S16,Conversions!$A$300:$B$305,2,FALSE))))</f>
        <v>0</v>
      </c>
      <c r="V16" s="832">
        <f t="shared" si="3"/>
        <v>0</v>
      </c>
      <c r="W16" s="832">
        <f t="shared" si="4"/>
        <v>437</v>
      </c>
      <c r="X16" s="895">
        <f>W16/Conversions!$B$5</f>
        <v>0.9634251196014022</v>
      </c>
      <c r="Y16" s="895">
        <f>W16/Conversions!$B$309/(4.3*5)</f>
        <v>3.387596899224806</v>
      </c>
      <c r="Z16" s="895">
        <f>$X16*Conversions!$B$20</f>
        <v>10.99942362421127</v>
      </c>
      <c r="AA16" s="895">
        <f>($X16*Conversions!$C$20)+(X16*Conversions!$D$48)</f>
        <v>15.037867262517393</v>
      </c>
      <c r="AB16" s="896">
        <f>$X16*Conversions!$D$20</f>
        <v>2.42604782839736</v>
      </c>
      <c r="AC16" s="883">
        <f>(Conversions!$B$292+Conversions!$B$291+Conversions!$B$290+Conversions!$B$290)*Conversions!$B$304</f>
        <v>384</v>
      </c>
      <c r="AD16" s="895">
        <f>AC16/Conversions!$B$5</f>
        <v>0.846579510130294</v>
      </c>
      <c r="AE16" s="895">
        <f>AC16/Conversions!$B$309/(4.3*5)</f>
        <v>2.9767441860465116</v>
      </c>
      <c r="AF16" s="895">
        <f>$AD16*Conversions!$B$20</f>
        <v>9.665397418071231</v>
      </c>
      <c r="AG16" s="895">
        <f>($AD16*Conversions!$C$20)+(AD16*Conversions!$D$48)</f>
        <v>13.21405269749812</v>
      </c>
      <c r="AH16" s="902">
        <f>$AD16*Conversions!$D$20</f>
        <v>2.131813194747337</v>
      </c>
      <c r="AI16" s="894">
        <f t="shared" si="5"/>
        <v>0.11684560947110822</v>
      </c>
      <c r="AJ16" s="893">
        <f t="shared" si="6"/>
        <v>0.4108527131782944</v>
      </c>
      <c r="AK16" s="893">
        <f t="shared" si="7"/>
        <v>1.334026206140038</v>
      </c>
      <c r="AL16" s="893">
        <f t="shared" si="8"/>
        <v>1.8238145650192727</v>
      </c>
      <c r="AM16" s="892">
        <f t="shared" si="9"/>
        <v>0.294234633650023</v>
      </c>
    </row>
    <row r="17" spans="1:39" ht="12.75">
      <c r="A17" s="891" t="str">
        <f>'Zero Waste Log'!A23</f>
        <v>Student12</v>
      </c>
      <c r="B17" s="890" t="str">
        <f>'Zero Waste Log'!B23</f>
        <v>n</v>
      </c>
      <c r="C17" s="304">
        <f>'Zero Waste Log'!C23</f>
        <v>0</v>
      </c>
      <c r="D17" s="832">
        <f>'Zero Waste Log'!D23</f>
        <v>0</v>
      </c>
      <c r="E17" s="832">
        <f>IF(C17=0,0,VLOOKUP(C17,Conversions!$A$288:$B$296,2,FALSE))</f>
        <v>0</v>
      </c>
      <c r="F17" s="832">
        <f>IF(OR(C17="zip lock plastic bag - square",C17="zip lock plastic bag - snack size"),178,IF(C17=0,0,(VLOOKUP(D17,Conversions!$A$300:$B$305,2,FALSE))))</f>
        <v>0</v>
      </c>
      <c r="G17" s="897">
        <f t="shared" si="0"/>
        <v>0</v>
      </c>
      <c r="H17" s="304">
        <f>'Zero Waste Log'!E23</f>
        <v>0</v>
      </c>
      <c r="I17" s="832">
        <f>'Zero Waste Log'!F23</f>
        <v>0</v>
      </c>
      <c r="J17" s="832">
        <f>IF(H17=0,0,VLOOKUP(H17,Conversions!$A$288:$B$296,2,FALSE))</f>
        <v>0</v>
      </c>
      <c r="K17" s="832">
        <f>IF(OR(H17="zip lock plastic bag - square",H17="zip lock plastic bag - snack size"),178,IF(H17=0,0,(VLOOKUP(I17,Conversions!$A$300:$B$305,2,FALSE))))</f>
        <v>0</v>
      </c>
      <c r="L17" s="831">
        <f t="shared" si="1"/>
        <v>0</v>
      </c>
      <c r="M17" s="898">
        <f>'Zero Waste Log'!G23</f>
        <v>0</v>
      </c>
      <c r="N17" s="832">
        <f>'Zero Waste Log'!H23</f>
        <v>0</v>
      </c>
      <c r="O17" s="832">
        <f>IF(M17=0,0,VLOOKUP(M17,Conversions!$A$288:$B$296,2,FALSE))</f>
        <v>0</v>
      </c>
      <c r="P17" s="832">
        <f>IF(OR(M17="zip lock plastic bag - square",M17="zip lock plastic bag - snack size"),178,IF(M17=0,0,(VLOOKUP(N17,Conversions!$A$300:$B$305,2,FALSE))))</f>
        <v>0</v>
      </c>
      <c r="Q17" s="897">
        <f t="shared" si="2"/>
        <v>0</v>
      </c>
      <c r="R17" s="304">
        <f>'Zero Waste Log'!I23</f>
        <v>0</v>
      </c>
      <c r="S17" s="832">
        <f>'Zero Waste Log'!J23</f>
        <v>0</v>
      </c>
      <c r="T17" s="832">
        <f>IF(R17=0,0,VLOOKUP(R17,Conversions!$A$288:$B$296,2,FALSE))</f>
        <v>0</v>
      </c>
      <c r="U17" s="832">
        <f>IF(OR(R17="zip lock plastic bag - square",R17="zip lock plastic bag - snack size"),178,IF(R17=0,0,(VLOOKUP(S17,Conversions!$A$300:$B$305,2,FALSE))))</f>
        <v>0</v>
      </c>
      <c r="V17" s="832">
        <f t="shared" si="3"/>
        <v>0</v>
      </c>
      <c r="W17" s="832">
        <f t="shared" si="4"/>
        <v>0</v>
      </c>
      <c r="X17" s="895">
        <f>W17/Conversions!$B$5</f>
        <v>0</v>
      </c>
      <c r="Y17" s="895">
        <f>W17/Conversions!$B$309/(4.3*5)</f>
        <v>0</v>
      </c>
      <c r="Z17" s="895">
        <f>$X17*Conversions!$B$20</f>
        <v>0</v>
      </c>
      <c r="AA17" s="895">
        <f>($X17*Conversions!$C$20)+(X17*Conversions!$D$48)</f>
        <v>0</v>
      </c>
      <c r="AB17" s="896">
        <f>$X17*Conversions!$D$20</f>
        <v>0</v>
      </c>
      <c r="AC17" s="883">
        <f>(Conversions!$B$292+Conversions!$B$291+Conversions!$B$290+Conversions!$B$290)*Conversions!$B$304</f>
        <v>384</v>
      </c>
      <c r="AD17" s="895">
        <f>AC17/Conversions!$B$5</f>
        <v>0.846579510130294</v>
      </c>
      <c r="AE17" s="895">
        <f>AC17/Conversions!$B$309/(4.3*5)</f>
        <v>2.9767441860465116</v>
      </c>
      <c r="AF17" s="895">
        <f>$AD17*Conversions!$B$20</f>
        <v>9.665397418071231</v>
      </c>
      <c r="AG17" s="895">
        <f>($AD17*Conversions!$C$20)+(AD17*Conversions!$D$48)</f>
        <v>13.21405269749812</v>
      </c>
      <c r="AH17" s="902">
        <f>$AD17*Conversions!$D$20</f>
        <v>2.131813194747337</v>
      </c>
      <c r="AI17" s="894">
        <f t="shared" si="5"/>
        <v>0</v>
      </c>
      <c r="AJ17" s="893">
        <f t="shared" si="6"/>
        <v>0</v>
      </c>
      <c r="AK17" s="893">
        <f t="shared" si="7"/>
        <v>0</v>
      </c>
      <c r="AL17" s="893">
        <f t="shared" si="8"/>
        <v>0</v>
      </c>
      <c r="AM17" s="892">
        <f t="shared" si="9"/>
        <v>0</v>
      </c>
    </row>
    <row r="18" spans="1:39" ht="38.25">
      <c r="A18" s="891" t="str">
        <f>'Zero Waste Log'!A24</f>
        <v>Student13</v>
      </c>
      <c r="B18" s="890" t="str">
        <f>'Zero Waste Log'!B24</f>
        <v>y</v>
      </c>
      <c r="C18" s="304" t="str">
        <f>'Zero Waste Log'!C24</f>
        <v>rubber maid - 14 oz cylinder</v>
      </c>
      <c r="D18" s="832" t="str">
        <f>'Zero Waste Log'!D24</f>
        <v>once every other month</v>
      </c>
      <c r="E18" s="832">
        <f>IF(C18=0,0,VLOOKUP(C18,Conversions!$A$288:$B$296,2,FALSE))</f>
        <v>68</v>
      </c>
      <c r="F18" s="832">
        <f>IF(OR(C18="zip lock plastic bag - square",C18="zip lock plastic bag - snack size"),178,IF(C18=0,0,(VLOOKUP(D18,Conversions!$A$300:$B$305,2,FALSE))))</f>
        <v>5.5</v>
      </c>
      <c r="G18" s="897">
        <f t="shared" si="0"/>
        <v>374</v>
      </c>
      <c r="H18" s="304" t="str">
        <f>'Zero Waste Log'!E24</f>
        <v>Rubbermaid - 1.25 cups</v>
      </c>
      <c r="I18" s="832" t="str">
        <f>'Zero Waste Log'!F24</f>
        <v>once every third month</v>
      </c>
      <c r="J18" s="832">
        <f>IF(H18=0,0,VLOOKUP(H18,Conversions!$A$288:$B$296,2,FALSE))</f>
        <v>58</v>
      </c>
      <c r="K18" s="832">
        <f>IF(OR(H18="zip lock plastic bag - square",H18="zip lock plastic bag - snack size"),178,IF(H18=0,0,(VLOOKUP(I18,Conversions!$A$300:$B$305,2,FALSE))))</f>
        <v>4</v>
      </c>
      <c r="L18" s="831">
        <f t="shared" si="1"/>
        <v>232</v>
      </c>
      <c r="M18" s="898" t="str">
        <f>'Zero Waste Log'!G24</f>
        <v>Rubbermaid - 1.25 cups</v>
      </c>
      <c r="N18" s="832" t="str">
        <f>'Zero Waste Log'!H24</f>
        <v>once every other month</v>
      </c>
      <c r="O18" s="832">
        <f>IF(M18=0,0,VLOOKUP(M18,Conversions!$A$288:$B$296,2,FALSE))</f>
        <v>58</v>
      </c>
      <c r="P18" s="832">
        <f>IF(OR(M18="zip lock plastic bag - square",M18="zip lock plastic bag - snack size"),178,IF(M18=0,0,(VLOOKUP(N18,Conversions!$A$300:$B$305,2,FALSE))))</f>
        <v>5.5</v>
      </c>
      <c r="Q18" s="897">
        <f t="shared" si="2"/>
        <v>319</v>
      </c>
      <c r="R18" s="304">
        <f>'Zero Waste Log'!I24</f>
        <v>0</v>
      </c>
      <c r="S18" s="832">
        <f>'Zero Waste Log'!J24</f>
        <v>0</v>
      </c>
      <c r="T18" s="832">
        <f>IF(R18=0,0,VLOOKUP(R18,Conversions!$A$288:$B$296,2,FALSE))</f>
        <v>0</v>
      </c>
      <c r="U18" s="832">
        <f>IF(OR(R18="zip lock plastic bag - square",R18="zip lock plastic bag - snack size"),178,IF(R18=0,0,(VLOOKUP(S18,Conversions!$A$300:$B$305,2,FALSE))))</f>
        <v>0</v>
      </c>
      <c r="V18" s="832">
        <f t="shared" si="3"/>
        <v>0</v>
      </c>
      <c r="W18" s="832">
        <f t="shared" si="4"/>
        <v>925</v>
      </c>
      <c r="X18" s="895">
        <f>W18/Conversions!$B$5</f>
        <v>2.039286580391984</v>
      </c>
      <c r="Y18" s="895">
        <f>W18/Conversions!$B$309/(4.3*5)</f>
        <v>7.170542635658914</v>
      </c>
      <c r="Z18" s="895">
        <f>$X18*Conversions!$B$20</f>
        <v>23.282532843010124</v>
      </c>
      <c r="AA18" s="895">
        <f>($X18*Conversions!$C$20)+(X18*Conversions!$D$48)</f>
        <v>31.830725898921255</v>
      </c>
      <c r="AB18" s="896">
        <f>$X18*Conversions!$D$20</f>
        <v>5.135227096722101</v>
      </c>
      <c r="AC18" s="883">
        <f>(Conversions!$B$292+Conversions!$B$291+Conversions!$B$290+Conversions!$B$290)*Conversions!$B$304</f>
        <v>384</v>
      </c>
      <c r="AD18" s="895">
        <f>AC18/Conversions!$B$5</f>
        <v>0.846579510130294</v>
      </c>
      <c r="AE18" s="895">
        <f>AC18/Conversions!$B$309/(4.3*5)</f>
        <v>2.9767441860465116</v>
      </c>
      <c r="AF18" s="895">
        <f>$AD18*Conversions!$B$20</f>
        <v>9.665397418071231</v>
      </c>
      <c r="AG18" s="895">
        <f>($AD18*Conversions!$C$20)+(AD18*Conversions!$D$48)</f>
        <v>13.21405269749812</v>
      </c>
      <c r="AH18" s="902">
        <f>$AD18*Conversions!$D$20</f>
        <v>2.131813194747337</v>
      </c>
      <c r="AI18" s="894">
        <f t="shared" si="5"/>
        <v>1.19270707026169</v>
      </c>
      <c r="AJ18" s="893">
        <f t="shared" si="6"/>
        <v>4.193798449612403</v>
      </c>
      <c r="AK18" s="893">
        <f t="shared" si="7"/>
        <v>13.617135424938892</v>
      </c>
      <c r="AL18" s="893">
        <f t="shared" si="8"/>
        <v>18.616673201423133</v>
      </c>
      <c r="AM18" s="892">
        <f t="shared" si="9"/>
        <v>3.003413901974764</v>
      </c>
    </row>
    <row r="19" spans="1:39" ht="38.25">
      <c r="A19" s="891" t="str">
        <f>'Zero Waste Log'!A25</f>
        <v>Student14</v>
      </c>
      <c r="B19" s="890" t="str">
        <f>'Zero Waste Log'!B25</f>
        <v>Y</v>
      </c>
      <c r="C19" s="304" t="str">
        <f>'Zero Waste Log'!C25</f>
        <v>rubber maid - square for sandwich</v>
      </c>
      <c r="D19" s="832" t="str">
        <f>'Zero Waste Log'!D25</f>
        <v>once a semester</v>
      </c>
      <c r="E19" s="832">
        <f>IF(C19=0,0,VLOOKUP(C19,Conversions!$A$288:$B$296,2,FALSE))</f>
        <v>88</v>
      </c>
      <c r="F19" s="832">
        <f>IF(OR(C19="zip lock plastic bag - square",C19="zip lock plastic bag - snack size"),178,IF(C19=0,0,(VLOOKUP(D19,Conversions!$A$300:$B$305,2,FALSE))))</f>
        <v>3</v>
      </c>
      <c r="G19" s="897">
        <f t="shared" si="0"/>
        <v>264</v>
      </c>
      <c r="H19" s="304" t="str">
        <f>'Zero Waste Log'!E25</f>
        <v>Rubbermaid - 4 oz</v>
      </c>
      <c r="I19" s="832" t="str">
        <f>'Zero Waste Log'!F25</f>
        <v>once a semester</v>
      </c>
      <c r="J19" s="832">
        <f>IF(H19=0,0,VLOOKUP(H19,Conversions!$A$288:$B$296,2,FALSE))</f>
        <v>23</v>
      </c>
      <c r="K19" s="832">
        <f>IF(OR(H19="zip lock plastic bag - square",H19="zip lock plastic bag - snack size"),178,IF(H19=0,0,(VLOOKUP(I19,Conversions!$A$300:$B$305,2,FALSE))))</f>
        <v>3</v>
      </c>
      <c r="L19" s="831">
        <f t="shared" si="1"/>
        <v>69</v>
      </c>
      <c r="M19" s="898" t="str">
        <f>'Zero Waste Log'!G25</f>
        <v>Rubbermaid - 1.25 cups</v>
      </c>
      <c r="N19" s="832" t="str">
        <f>'Zero Waste Log'!H25</f>
        <v>once a semester</v>
      </c>
      <c r="O19" s="832">
        <f>IF(M19=0,0,VLOOKUP(M19,Conversions!$A$288:$B$296,2,FALSE))</f>
        <v>58</v>
      </c>
      <c r="P19" s="832">
        <f>IF(OR(M19="zip lock plastic bag - square",M19="zip lock plastic bag - snack size"),178,IF(M19=0,0,(VLOOKUP(N19,Conversions!$A$300:$B$305,2,FALSE))))</f>
        <v>3</v>
      </c>
      <c r="Q19" s="897">
        <f t="shared" si="2"/>
        <v>174</v>
      </c>
      <c r="R19" s="304" t="str">
        <f>'Zero Waste Log'!I25</f>
        <v>Rubbermaid - 1.25 cups</v>
      </c>
      <c r="S19" s="832" t="str">
        <f>'Zero Waste Log'!J25</f>
        <v>once a semester</v>
      </c>
      <c r="T19" s="832">
        <f>IF(R19=0,0,VLOOKUP(R19,Conversions!$A$288:$B$296,2,FALSE))</f>
        <v>58</v>
      </c>
      <c r="U19" s="832">
        <f>IF(OR(R19="zip lock plastic bag - square",R19="zip lock plastic bag - snack size"),178,IF(R19=0,0,(VLOOKUP(S19,Conversions!$A$300:$B$305,2,FALSE))))</f>
        <v>3</v>
      </c>
      <c r="V19" s="832">
        <f t="shared" si="3"/>
        <v>174</v>
      </c>
      <c r="W19" s="832">
        <f t="shared" si="4"/>
        <v>681</v>
      </c>
      <c r="X19" s="895">
        <f>W19/Conversions!$B$5</f>
        <v>1.501355849996693</v>
      </c>
      <c r="Y19" s="895">
        <f>W19/Conversions!$B$309/(4.3*5)</f>
        <v>5.27906976744186</v>
      </c>
      <c r="Z19" s="895">
        <f>$X19*Conversions!$B$20</f>
        <v>17.140978233610696</v>
      </c>
      <c r="AA19" s="895">
        <f>($X19*Conversions!$C$20)+(X19*Conversions!$D$48)</f>
        <v>23.434296580719323</v>
      </c>
      <c r="AB19" s="896">
        <f>$X19*Conversions!$D$20</f>
        <v>3.7806374625597305</v>
      </c>
      <c r="AC19" s="883">
        <f>(Conversions!$B$292+Conversions!$B$291+Conversions!$B$290+Conversions!$B$290)*Conversions!$B$304</f>
        <v>384</v>
      </c>
      <c r="AD19" s="895">
        <f>AC19/Conversions!$B$5</f>
        <v>0.846579510130294</v>
      </c>
      <c r="AE19" s="895">
        <f>AC19/Conversions!$B$309/(4.3*5)</f>
        <v>2.9767441860465116</v>
      </c>
      <c r="AF19" s="895">
        <f>$AD19*Conversions!$B$20</f>
        <v>9.665397418071231</v>
      </c>
      <c r="AG19" s="895">
        <f>($AD19*Conversions!$C$20)+(AD19*Conversions!$D$48)</f>
        <v>13.21405269749812</v>
      </c>
      <c r="AH19" s="902">
        <f>$AD19*Conversions!$D$20</f>
        <v>2.131813194747337</v>
      </c>
      <c r="AI19" s="894">
        <f t="shared" si="5"/>
        <v>0.654776339866399</v>
      </c>
      <c r="AJ19" s="893">
        <f t="shared" si="6"/>
        <v>2.3023255813953485</v>
      </c>
      <c r="AK19" s="893">
        <f t="shared" si="7"/>
        <v>7.475580815539464</v>
      </c>
      <c r="AL19" s="893">
        <f t="shared" si="8"/>
        <v>10.220243883221203</v>
      </c>
      <c r="AM19" s="892">
        <f t="shared" si="9"/>
        <v>1.6488242678123934</v>
      </c>
    </row>
    <row r="20" spans="1:39" ht="38.25">
      <c r="A20" s="891" t="str">
        <f>'Zero Waste Log'!A26</f>
        <v>Student15</v>
      </c>
      <c r="B20" s="890" t="str">
        <f>'Zero Waste Log'!B26</f>
        <v>Y</v>
      </c>
      <c r="C20" s="304" t="str">
        <f>'Zero Waste Log'!C26</f>
        <v>zip lock plastic bag - square</v>
      </c>
      <c r="D20" s="832">
        <f>'Zero Waste Log'!D26</f>
        <v>0</v>
      </c>
      <c r="E20" s="832">
        <f>IF(C20=0,0,VLOOKUP(C20,Conversions!$A$288:$B$296,2,FALSE))</f>
        <v>3</v>
      </c>
      <c r="F20" s="832">
        <f>IF(OR(C20="zip lock plastic bag - square",C20="zip lock plastic bag - snack size"),178,IF(C20=0,0,(VLOOKUP(D20,Conversions!$A$300:$B$305,2,FALSE))))</f>
        <v>178</v>
      </c>
      <c r="G20" s="897">
        <f t="shared" si="0"/>
        <v>534</v>
      </c>
      <c r="H20" s="304" t="str">
        <f>'Zero Waste Log'!E26</f>
        <v>zip lock plastic bag - square</v>
      </c>
      <c r="I20" s="832">
        <f>'Zero Waste Log'!F26</f>
        <v>0</v>
      </c>
      <c r="J20" s="832">
        <f>IF(H20=0,0,VLOOKUP(H20,Conversions!$A$288:$B$296,2,FALSE))</f>
        <v>3</v>
      </c>
      <c r="K20" s="832">
        <f>IF(OR(H20="zip lock plastic bag - square",H20="zip lock plastic bag - snack size"),178,IF(H20=0,0,(VLOOKUP(I20,Conversions!$A$300:$B$305,2,FALSE))))</f>
        <v>178</v>
      </c>
      <c r="L20" s="831">
        <f t="shared" si="1"/>
        <v>534</v>
      </c>
      <c r="M20" s="898" t="str">
        <f>'Zero Waste Log'!G26</f>
        <v>zip lock plastic bag - snack size</v>
      </c>
      <c r="N20" s="832">
        <f>'Zero Waste Log'!H26</f>
        <v>0</v>
      </c>
      <c r="O20" s="832">
        <f>IF(M20=0,0,VLOOKUP(M20,Conversions!$A$288:$B$296,2,FALSE))</f>
        <v>1.5</v>
      </c>
      <c r="P20" s="832">
        <f>IF(OR(M20="zip lock plastic bag - square",M20="zip lock plastic bag - snack size"),178,IF(M20=0,0,(VLOOKUP(N20,Conversions!$A$300:$B$305,2,FALSE))))</f>
        <v>178</v>
      </c>
      <c r="Q20" s="897">
        <f t="shared" si="2"/>
        <v>267</v>
      </c>
      <c r="R20" s="304">
        <f>'Zero Waste Log'!I26</f>
        <v>0</v>
      </c>
      <c r="S20" s="832">
        <f>'Zero Waste Log'!J26</f>
        <v>0</v>
      </c>
      <c r="T20" s="832">
        <f>IF(R20=0,0,VLOOKUP(R20,Conversions!$A$288:$B$296,2,FALSE))</f>
        <v>0</v>
      </c>
      <c r="U20" s="832">
        <f>IF(OR(R20="zip lock plastic bag - square",R20="zip lock plastic bag - snack size"),178,IF(R20=0,0,(VLOOKUP(S20,Conversions!$A$300:$B$305,2,FALSE))))</f>
        <v>0</v>
      </c>
      <c r="V20" s="832">
        <f t="shared" si="3"/>
        <v>0</v>
      </c>
      <c r="W20" s="832">
        <f t="shared" si="4"/>
        <v>1335</v>
      </c>
      <c r="X20" s="895">
        <f>W20/Conversions!$B$5</f>
        <v>2.94318657818735</v>
      </c>
      <c r="Y20" s="895">
        <f>W20/Conversions!$B$309/(4.3*5)</f>
        <v>10.348837209302326</v>
      </c>
      <c r="Z20" s="895">
        <f>$X20*Conversions!$B$20</f>
        <v>33.60235821126326</v>
      </c>
      <c r="AA20" s="895">
        <f>($X20*Conversions!$C$20)+(X20*Conversions!$D$48)</f>
        <v>45.93948008114581</v>
      </c>
      <c r="AB20" s="896">
        <f>$X20*Conversions!$D$20</f>
        <v>7.411381809863789</v>
      </c>
      <c r="AC20" s="883">
        <f>(Conversions!$B$292+Conversions!$B$291+Conversions!$B$290+Conversions!$B$290)*Conversions!$B$304</f>
        <v>384</v>
      </c>
      <c r="AD20" s="895">
        <f>AC20/Conversions!$B$5</f>
        <v>0.846579510130294</v>
      </c>
      <c r="AE20" s="895">
        <f>AC20/Conversions!$B$309/(4.3*5)</f>
        <v>2.9767441860465116</v>
      </c>
      <c r="AF20" s="895">
        <f>$AD20*Conversions!$B$20</f>
        <v>9.665397418071231</v>
      </c>
      <c r="AG20" s="895">
        <f>($AD20*Conversions!$C$20)+(AD20*Conversions!$D$48)</f>
        <v>13.21405269749812</v>
      </c>
      <c r="AH20" s="902">
        <f>$AD20*Conversions!$D$20</f>
        <v>2.131813194747337</v>
      </c>
      <c r="AI20" s="894">
        <f t="shared" si="5"/>
        <v>2.0966070680570557</v>
      </c>
      <c r="AJ20" s="893">
        <f t="shared" si="6"/>
        <v>7.372093023255815</v>
      </c>
      <c r="AK20" s="893">
        <f t="shared" si="7"/>
        <v>23.93696079319203</v>
      </c>
      <c r="AL20" s="893">
        <f t="shared" si="8"/>
        <v>32.72542738364769</v>
      </c>
      <c r="AM20" s="892">
        <f t="shared" si="9"/>
        <v>5.279568615116451</v>
      </c>
    </row>
    <row r="21" spans="1:39" ht="38.25">
      <c r="A21" s="891" t="str">
        <f>'Zero Waste Log'!A27</f>
        <v>Student16</v>
      </c>
      <c r="B21" s="890" t="str">
        <f>'Zero Waste Log'!B27</f>
        <v>Y</v>
      </c>
      <c r="C21" s="304" t="str">
        <f>'Zero Waste Log'!C27</f>
        <v>zip lock plastic bag - square</v>
      </c>
      <c r="D21" s="832">
        <f>'Zero Waste Log'!D27</f>
        <v>0</v>
      </c>
      <c r="E21" s="832">
        <f>IF(C21=0,0,VLOOKUP(C21,Conversions!$A$288:$B$296,2,FALSE))</f>
        <v>3</v>
      </c>
      <c r="F21" s="832">
        <f>IF(OR(C21="zip lock plastic bag - square",C21="zip lock plastic bag - snack size"),178,IF(C21=0,0,(VLOOKUP(D21,Conversions!$A$300:$B$305,2,FALSE))))</f>
        <v>178</v>
      </c>
      <c r="G21" s="897">
        <f t="shared" si="0"/>
        <v>534</v>
      </c>
      <c r="H21" s="304" t="str">
        <f>'Zero Waste Log'!E27</f>
        <v>zip lock plastic bag - snack size</v>
      </c>
      <c r="I21" s="832">
        <f>'Zero Waste Log'!F27</f>
        <v>0</v>
      </c>
      <c r="J21" s="832">
        <f>IF(H21=0,0,VLOOKUP(H21,Conversions!$A$288:$B$296,2,FALSE))</f>
        <v>1.5</v>
      </c>
      <c r="K21" s="832">
        <f>IF(OR(H21="zip lock plastic bag - square",H21="zip lock plastic bag - snack size"),178,IF(H21=0,0,(VLOOKUP(I21,Conversions!$A$300:$B$305,2,FALSE))))</f>
        <v>178</v>
      </c>
      <c r="L21" s="831">
        <f t="shared" si="1"/>
        <v>267</v>
      </c>
      <c r="M21" s="898" t="str">
        <f>'Zero Waste Log'!G27</f>
        <v>zip lock plastic bag - snack size</v>
      </c>
      <c r="N21" s="832">
        <f>'Zero Waste Log'!H27</f>
        <v>0</v>
      </c>
      <c r="O21" s="832">
        <f>IF(M21=0,0,VLOOKUP(M21,Conversions!$A$288:$B$296,2,FALSE))</f>
        <v>1.5</v>
      </c>
      <c r="P21" s="832">
        <f>IF(OR(M21="zip lock plastic bag - square",M21="zip lock plastic bag - snack size"),178,IF(M21=0,0,(VLOOKUP(N21,Conversions!$A$300:$B$305,2,FALSE))))</f>
        <v>178</v>
      </c>
      <c r="Q21" s="897">
        <f t="shared" si="2"/>
        <v>267</v>
      </c>
      <c r="R21" s="304" t="str">
        <f>'Zero Waste Log'!I27</f>
        <v>zip lock plastic bag - snack size</v>
      </c>
      <c r="S21" s="832">
        <f>'Zero Waste Log'!J27</f>
        <v>0</v>
      </c>
      <c r="T21" s="832">
        <f>IF(R21=0,0,VLOOKUP(R21,Conversions!$A$288:$B$296,2,FALSE))</f>
        <v>1.5</v>
      </c>
      <c r="U21" s="832">
        <f>IF(OR(R21="zip lock plastic bag - square",R21="zip lock plastic bag - snack size"),178,IF(R21=0,0,(VLOOKUP(S21,Conversions!$A$300:$B$305,2,FALSE))))</f>
        <v>178</v>
      </c>
      <c r="V21" s="832">
        <f t="shared" si="3"/>
        <v>267</v>
      </c>
      <c r="W21" s="832">
        <f t="shared" si="4"/>
        <v>1335</v>
      </c>
      <c r="X21" s="895">
        <f>W21/Conversions!$B$5</f>
        <v>2.94318657818735</v>
      </c>
      <c r="Y21" s="895">
        <f>W21/Conversions!$B$309/(4.3*5)</f>
        <v>10.348837209302326</v>
      </c>
      <c r="Z21" s="895">
        <f>$X21*Conversions!$B$20</f>
        <v>33.60235821126326</v>
      </c>
      <c r="AA21" s="895">
        <f>($X21*Conversions!$C$20)+(X21*Conversions!$D$48)</f>
        <v>45.93948008114581</v>
      </c>
      <c r="AB21" s="896">
        <f>$X21*Conversions!$D$20</f>
        <v>7.411381809863789</v>
      </c>
      <c r="AC21" s="883">
        <f>(Conversions!$B$292+Conversions!$B$291+Conversions!$B$290+Conversions!$B$290)*Conversions!$B$304</f>
        <v>384</v>
      </c>
      <c r="AD21" s="895">
        <f>AC21/Conversions!$B$5</f>
        <v>0.846579510130294</v>
      </c>
      <c r="AE21" s="895">
        <f>AC21/Conversions!$B$309/(4.3*5)</f>
        <v>2.9767441860465116</v>
      </c>
      <c r="AF21" s="895">
        <f>$AD21*Conversions!$B$20</f>
        <v>9.665397418071231</v>
      </c>
      <c r="AG21" s="895">
        <f>($AD21*Conversions!$C$20)+(AD21*Conversions!$D$48)</f>
        <v>13.21405269749812</v>
      </c>
      <c r="AH21" s="902">
        <f>$AD21*Conversions!$D$20</f>
        <v>2.131813194747337</v>
      </c>
      <c r="AI21" s="894">
        <f t="shared" si="5"/>
        <v>2.0966070680570557</v>
      </c>
      <c r="AJ21" s="893">
        <f t="shared" si="6"/>
        <v>7.372093023255815</v>
      </c>
      <c r="AK21" s="893">
        <f t="shared" si="7"/>
        <v>23.93696079319203</v>
      </c>
      <c r="AL21" s="893">
        <f t="shared" si="8"/>
        <v>32.72542738364769</v>
      </c>
      <c r="AM21" s="892">
        <f t="shared" si="9"/>
        <v>5.279568615116451</v>
      </c>
    </row>
    <row r="22" spans="1:39" ht="38.25">
      <c r="A22" s="891" t="str">
        <f>'Zero Waste Log'!A28</f>
        <v>Student17</v>
      </c>
      <c r="B22" s="890" t="str">
        <f>'Zero Waste Log'!B28</f>
        <v>Y</v>
      </c>
      <c r="C22" s="304" t="str">
        <f>'Zero Waste Log'!C28</f>
        <v>Laptop Lunch - bento box</v>
      </c>
      <c r="D22" s="832" t="str">
        <f>'Zero Waste Log'!D28</f>
        <v>do not lose containers</v>
      </c>
      <c r="E22" s="832">
        <f>IF(C22=0,0,VLOOKUP(C22,Conversions!$A$288:$B$296,2,FALSE))</f>
        <v>400</v>
      </c>
      <c r="F22" s="832">
        <f>IF(OR(C22="zip lock plastic bag - square",C22="zip lock plastic bag - snack size"),178,IF(C22=0,0,(VLOOKUP(D22,Conversions!$A$300:$B$305,2,FALSE))))</f>
        <v>1</v>
      </c>
      <c r="G22" s="897">
        <f t="shared" si="0"/>
        <v>400</v>
      </c>
      <c r="H22" s="304" t="str">
        <f>'Zero Waste Log'!E28</f>
        <v>Laptop Lunch - water bottle</v>
      </c>
      <c r="I22" s="832" t="str">
        <f>'Zero Waste Log'!F28</f>
        <v>do not lose containers</v>
      </c>
      <c r="J22" s="832">
        <f>IF(H22=0,0,VLOOKUP(H22,Conversions!$A$288:$B$296,2,FALSE))</f>
        <v>37</v>
      </c>
      <c r="K22" s="832">
        <f>IF(OR(H22="zip lock plastic bag - square",H22="zip lock plastic bag - snack size"),178,IF(H22=0,0,(VLOOKUP(I22,Conversions!$A$300:$B$305,2,FALSE))))</f>
        <v>1</v>
      </c>
      <c r="L22" s="831">
        <f t="shared" si="1"/>
        <v>37</v>
      </c>
      <c r="M22" s="898">
        <f>'Zero Waste Log'!G28</f>
        <v>0</v>
      </c>
      <c r="N22" s="832">
        <f>'Zero Waste Log'!H28</f>
        <v>0</v>
      </c>
      <c r="O22" s="832">
        <f>IF(M22=0,0,VLOOKUP(M22,Conversions!$A$288:$B$296,2,FALSE))</f>
        <v>0</v>
      </c>
      <c r="P22" s="832">
        <f>IF(OR(M22="zip lock plastic bag - square",M22="zip lock plastic bag - snack size"),178,IF(M22=0,0,(VLOOKUP(N22,Conversions!$A$300:$B$305,2,FALSE))))</f>
        <v>0</v>
      </c>
      <c r="Q22" s="897">
        <f t="shared" si="2"/>
        <v>0</v>
      </c>
      <c r="R22" s="304">
        <f>'Zero Waste Log'!I28</f>
        <v>0</v>
      </c>
      <c r="S22" s="832">
        <f>'Zero Waste Log'!J28</f>
        <v>0</v>
      </c>
      <c r="T22" s="832">
        <f>IF(R22=0,0,VLOOKUP(R22,Conversions!$A$288:$B$296,2,FALSE))</f>
        <v>0</v>
      </c>
      <c r="U22" s="832">
        <f>IF(OR(R22="zip lock plastic bag - square",R22="zip lock plastic bag - snack size"),178,IF(R22=0,0,(VLOOKUP(S22,Conversions!$A$300:$B$305,2,FALSE))))</f>
        <v>0</v>
      </c>
      <c r="V22" s="832">
        <f t="shared" si="3"/>
        <v>0</v>
      </c>
      <c r="W22" s="832">
        <f t="shared" si="4"/>
        <v>437</v>
      </c>
      <c r="X22" s="895">
        <f>W22/Conversions!$B$5</f>
        <v>0.9634251196014022</v>
      </c>
      <c r="Y22" s="895">
        <f>W22/Conversions!$B$309/(4.3*5)</f>
        <v>3.387596899224806</v>
      </c>
      <c r="Z22" s="895">
        <f>$X22*Conversions!$B$20</f>
        <v>10.99942362421127</v>
      </c>
      <c r="AA22" s="895">
        <f>($X22*Conversions!$C$20)+(X22*Conversions!$D$48)</f>
        <v>15.037867262517393</v>
      </c>
      <c r="AB22" s="896">
        <f>$X22*Conversions!$D$20</f>
        <v>2.42604782839736</v>
      </c>
      <c r="AC22" s="883">
        <f>(Conversions!$B$292+Conversions!$B$291+Conversions!$B$290+Conversions!$B$290)*Conversions!$B$304</f>
        <v>384</v>
      </c>
      <c r="AD22" s="895">
        <f>AC22/Conversions!$B$5</f>
        <v>0.846579510130294</v>
      </c>
      <c r="AE22" s="895">
        <f>AC22/Conversions!$B$309/(4.3*5)</f>
        <v>2.9767441860465116</v>
      </c>
      <c r="AF22" s="895">
        <f>$AD22*Conversions!$B$20</f>
        <v>9.665397418071231</v>
      </c>
      <c r="AG22" s="895">
        <f>($AD22*Conversions!$C$20)+(AD22*Conversions!$D$48)</f>
        <v>13.21405269749812</v>
      </c>
      <c r="AH22" s="902">
        <f>$AD22*Conversions!$D$20</f>
        <v>2.131813194747337</v>
      </c>
      <c r="AI22" s="894">
        <f t="shared" si="5"/>
        <v>0.11684560947110822</v>
      </c>
      <c r="AJ22" s="893">
        <f t="shared" si="6"/>
        <v>0.4108527131782944</v>
      </c>
      <c r="AK22" s="893">
        <f t="shared" si="7"/>
        <v>1.334026206140038</v>
      </c>
      <c r="AL22" s="893">
        <f t="shared" si="8"/>
        <v>1.8238145650192727</v>
      </c>
      <c r="AM22" s="892">
        <f t="shared" si="9"/>
        <v>0.294234633650023</v>
      </c>
    </row>
    <row r="23" spans="1:39" ht="12.75">
      <c r="A23" s="891" t="str">
        <f>'Zero Waste Log'!A29</f>
        <v>Student18</v>
      </c>
      <c r="B23" s="890" t="str">
        <f>'Zero Waste Log'!B29</f>
        <v>n</v>
      </c>
      <c r="C23" s="304">
        <f>'Zero Waste Log'!C29</f>
        <v>0</v>
      </c>
      <c r="D23" s="832">
        <f>'Zero Waste Log'!D29</f>
        <v>0</v>
      </c>
      <c r="E23" s="832">
        <f>IF(C23=0,0,VLOOKUP(C23,Conversions!$A$288:$B$296,2,FALSE))</f>
        <v>0</v>
      </c>
      <c r="F23" s="832">
        <f>IF(OR(C23="zip lock plastic bag - square",C23="zip lock plastic bag - snack size"),178,IF(C23=0,0,(VLOOKUP(D23,Conversions!$A$300:$B$305,2,FALSE))))</f>
        <v>0</v>
      </c>
      <c r="G23" s="897">
        <f t="shared" si="0"/>
        <v>0</v>
      </c>
      <c r="H23" s="304">
        <f>'Zero Waste Log'!E29</f>
        <v>0</v>
      </c>
      <c r="I23" s="832">
        <f>'Zero Waste Log'!F29</f>
        <v>0</v>
      </c>
      <c r="J23" s="832">
        <f>IF(H23=0,0,VLOOKUP(H23,Conversions!$A$288:$B$296,2,FALSE))</f>
        <v>0</v>
      </c>
      <c r="K23" s="832">
        <f>IF(OR(H23="zip lock plastic bag - square",H23="zip lock plastic bag - snack size"),178,IF(H23=0,0,(VLOOKUP(I23,Conversions!$A$300:$B$305,2,FALSE))))</f>
        <v>0</v>
      </c>
      <c r="L23" s="831">
        <f t="shared" si="1"/>
        <v>0</v>
      </c>
      <c r="M23" s="898">
        <f>'Zero Waste Log'!G29</f>
        <v>0</v>
      </c>
      <c r="N23" s="832">
        <f>'Zero Waste Log'!H29</f>
        <v>0</v>
      </c>
      <c r="O23" s="832">
        <f>IF(M23=0,0,VLOOKUP(M23,Conversions!$A$288:$B$296,2,FALSE))</f>
        <v>0</v>
      </c>
      <c r="P23" s="832">
        <f>IF(OR(M23="zip lock plastic bag - square",M23="zip lock plastic bag - snack size"),178,IF(M23=0,0,(VLOOKUP(N23,Conversions!$A$300:$B$305,2,FALSE))))</f>
        <v>0</v>
      </c>
      <c r="Q23" s="897">
        <f t="shared" si="2"/>
        <v>0</v>
      </c>
      <c r="R23" s="304">
        <f>'Zero Waste Log'!I29</f>
        <v>0</v>
      </c>
      <c r="S23" s="832">
        <f>'Zero Waste Log'!J29</f>
        <v>0</v>
      </c>
      <c r="T23" s="832">
        <f>IF(R23=0,0,VLOOKUP(R23,Conversions!$A$288:$B$296,2,FALSE))</f>
        <v>0</v>
      </c>
      <c r="U23" s="832">
        <f>IF(OR(R23="zip lock plastic bag - square",R23="zip lock plastic bag - snack size"),178,IF(R23=0,0,(VLOOKUP(S23,Conversions!$A$300:$B$305,2,FALSE))))</f>
        <v>0</v>
      </c>
      <c r="V23" s="832">
        <f t="shared" si="3"/>
        <v>0</v>
      </c>
      <c r="W23" s="832">
        <f t="shared" si="4"/>
        <v>0</v>
      </c>
      <c r="X23" s="895">
        <f>W23/Conversions!$B$5</f>
        <v>0</v>
      </c>
      <c r="Y23" s="895">
        <f>W23/Conversions!$B$309/(4.3*5)</f>
        <v>0</v>
      </c>
      <c r="Z23" s="895">
        <f>$X23*Conversions!$B$20</f>
        <v>0</v>
      </c>
      <c r="AA23" s="895">
        <f>($X23*Conversions!$C$20)+(X23*Conversions!$D$48)</f>
        <v>0</v>
      </c>
      <c r="AB23" s="896">
        <f>$X23*Conversions!$D$20</f>
        <v>0</v>
      </c>
      <c r="AC23" s="883">
        <f>(Conversions!$B$292+Conversions!$B$291+Conversions!$B$290+Conversions!$B$290)*Conversions!$B$304</f>
        <v>384</v>
      </c>
      <c r="AD23" s="895">
        <f>AC23/Conversions!$B$5</f>
        <v>0.846579510130294</v>
      </c>
      <c r="AE23" s="895">
        <f>AC23/Conversions!$B$309/(4.3*5)</f>
        <v>2.9767441860465116</v>
      </c>
      <c r="AF23" s="895">
        <f>$AD23*Conversions!$B$20</f>
        <v>9.665397418071231</v>
      </c>
      <c r="AG23" s="895">
        <f>($AD23*Conversions!$C$20)+(AD23*Conversions!$D$48)</f>
        <v>13.21405269749812</v>
      </c>
      <c r="AH23" s="902">
        <f>$AD23*Conversions!$D$20</f>
        <v>2.131813194747337</v>
      </c>
      <c r="AI23" s="894">
        <f t="shared" si="5"/>
        <v>0</v>
      </c>
      <c r="AJ23" s="893">
        <f t="shared" si="6"/>
        <v>0</v>
      </c>
      <c r="AK23" s="893">
        <f t="shared" si="7"/>
        <v>0</v>
      </c>
      <c r="AL23" s="893">
        <f t="shared" si="8"/>
        <v>0</v>
      </c>
      <c r="AM23" s="892">
        <f t="shared" si="9"/>
        <v>0</v>
      </c>
    </row>
    <row r="24" spans="1:39" ht="38.25">
      <c r="A24" s="891" t="str">
        <f>'Zero Waste Log'!A30</f>
        <v>Student19</v>
      </c>
      <c r="B24" s="890" t="str">
        <f>'Zero Waste Log'!B30</f>
        <v>y</v>
      </c>
      <c r="C24" s="304" t="str">
        <f>'Zero Waste Log'!C30</f>
        <v>rubber maid - 14 oz cylinder</v>
      </c>
      <c r="D24" s="832" t="str">
        <f>'Zero Waste Log'!D30</f>
        <v>once every other month</v>
      </c>
      <c r="E24" s="832">
        <f>IF(C24=0,0,VLOOKUP(C24,Conversions!$A$288:$B$296,2,FALSE))</f>
        <v>68</v>
      </c>
      <c r="F24" s="832">
        <f>IF(OR(C24="zip lock plastic bag - square",C24="zip lock plastic bag - snack size"),178,IF(C24=0,0,(VLOOKUP(D24,Conversions!$A$300:$B$305,2,FALSE))))</f>
        <v>5.5</v>
      </c>
      <c r="G24" s="897">
        <f t="shared" si="0"/>
        <v>374</v>
      </c>
      <c r="H24" s="304" t="str">
        <f>'Zero Waste Log'!E30</f>
        <v>Rubbermaid - 1.25 cups</v>
      </c>
      <c r="I24" s="832" t="str">
        <f>'Zero Waste Log'!F30</f>
        <v>once every third month</v>
      </c>
      <c r="J24" s="832">
        <f>IF(H24=0,0,VLOOKUP(H24,Conversions!$A$288:$B$296,2,FALSE))</f>
        <v>58</v>
      </c>
      <c r="K24" s="832">
        <f>IF(OR(H24="zip lock plastic bag - square",H24="zip lock plastic bag - snack size"),178,IF(H24=0,0,(VLOOKUP(I24,Conversions!$A$300:$B$305,2,FALSE))))</f>
        <v>4</v>
      </c>
      <c r="L24" s="831">
        <f t="shared" si="1"/>
        <v>232</v>
      </c>
      <c r="M24" s="898" t="str">
        <f>'Zero Waste Log'!G30</f>
        <v>Rubbermaid - 1.25 cups</v>
      </c>
      <c r="N24" s="832" t="str">
        <f>'Zero Waste Log'!H30</f>
        <v>once every other month</v>
      </c>
      <c r="O24" s="832">
        <f>IF(M24=0,0,VLOOKUP(M24,Conversions!$A$288:$B$296,2,FALSE))</f>
        <v>58</v>
      </c>
      <c r="P24" s="832">
        <f>IF(OR(M24="zip lock plastic bag - square",M24="zip lock plastic bag - snack size"),178,IF(M24=0,0,(VLOOKUP(N24,Conversions!$A$300:$B$305,2,FALSE))))</f>
        <v>5.5</v>
      </c>
      <c r="Q24" s="897">
        <f t="shared" si="2"/>
        <v>319</v>
      </c>
      <c r="R24" s="304">
        <f>'Zero Waste Log'!I30</f>
        <v>0</v>
      </c>
      <c r="S24" s="832">
        <f>'Zero Waste Log'!J30</f>
        <v>0</v>
      </c>
      <c r="T24" s="832">
        <f>IF(R24=0,0,VLOOKUP(R24,Conversions!$A$288:$B$296,2,FALSE))</f>
        <v>0</v>
      </c>
      <c r="U24" s="832">
        <f>IF(OR(R24="zip lock plastic bag - square",R24="zip lock plastic bag - snack size"),178,IF(R24=0,0,(VLOOKUP(S24,Conversions!$A$300:$B$305,2,FALSE))))</f>
        <v>0</v>
      </c>
      <c r="V24" s="832">
        <f t="shared" si="3"/>
        <v>0</v>
      </c>
      <c r="W24" s="832">
        <f t="shared" si="4"/>
        <v>925</v>
      </c>
      <c r="X24" s="895">
        <f>W24/Conversions!$B$5</f>
        <v>2.039286580391984</v>
      </c>
      <c r="Y24" s="895">
        <f>W24/Conversions!$B$309/(4.3*5)</f>
        <v>7.170542635658914</v>
      </c>
      <c r="Z24" s="895">
        <f>$X24*Conversions!$B$20</f>
        <v>23.282532843010124</v>
      </c>
      <c r="AA24" s="895">
        <f>($X24*Conversions!$C$20)+(X24*Conversions!$D$48)</f>
        <v>31.830725898921255</v>
      </c>
      <c r="AB24" s="896">
        <f>$X24*Conversions!$D$20</f>
        <v>5.135227096722101</v>
      </c>
      <c r="AC24" s="883">
        <f>(Conversions!$B$292+Conversions!$B$291+Conversions!$B$290+Conversions!$B$290)*Conversions!$B$304</f>
        <v>384</v>
      </c>
      <c r="AD24" s="895">
        <f>AC24/Conversions!$B$5</f>
        <v>0.846579510130294</v>
      </c>
      <c r="AE24" s="895">
        <f>AC24/Conversions!$B$309/(4.3*5)</f>
        <v>2.9767441860465116</v>
      </c>
      <c r="AF24" s="895">
        <f>$AD24*Conversions!$B$20</f>
        <v>9.665397418071231</v>
      </c>
      <c r="AG24" s="895">
        <f>($AD24*Conversions!$C$20)+(AD24*Conversions!$D$48)</f>
        <v>13.21405269749812</v>
      </c>
      <c r="AH24" s="902">
        <f>$AD24*Conversions!$D$20</f>
        <v>2.131813194747337</v>
      </c>
      <c r="AI24" s="894">
        <f t="shared" si="5"/>
        <v>1.19270707026169</v>
      </c>
      <c r="AJ24" s="893">
        <f t="shared" si="6"/>
        <v>4.193798449612403</v>
      </c>
      <c r="AK24" s="893">
        <f t="shared" si="7"/>
        <v>13.617135424938892</v>
      </c>
      <c r="AL24" s="893">
        <f t="shared" si="8"/>
        <v>18.616673201423133</v>
      </c>
      <c r="AM24" s="892">
        <f t="shared" si="9"/>
        <v>3.003413901974764</v>
      </c>
    </row>
    <row r="25" spans="1:39" ht="38.25">
      <c r="A25" s="891" t="str">
        <f>'Zero Waste Log'!A31</f>
        <v>Student20</v>
      </c>
      <c r="B25" s="890" t="str">
        <f>'Zero Waste Log'!B31</f>
        <v>Y</v>
      </c>
      <c r="C25" s="304" t="str">
        <f>'Zero Waste Log'!C31</f>
        <v>rubber maid - square for sandwich</v>
      </c>
      <c r="D25" s="832" t="str">
        <f>'Zero Waste Log'!D31</f>
        <v>once a semester</v>
      </c>
      <c r="E25" s="832">
        <f>IF(C25=0,0,VLOOKUP(C25,Conversions!$A$288:$B$296,2,FALSE))</f>
        <v>88</v>
      </c>
      <c r="F25" s="832">
        <f>IF(OR(C25="zip lock plastic bag - square",C25="zip lock plastic bag - snack size"),178,IF(C25=0,0,(VLOOKUP(D25,Conversions!$A$300:$B$305,2,FALSE))))</f>
        <v>3</v>
      </c>
      <c r="G25" s="897">
        <f t="shared" si="0"/>
        <v>264</v>
      </c>
      <c r="H25" s="304" t="str">
        <f>'Zero Waste Log'!E31</f>
        <v>Rubbermaid - 4 oz</v>
      </c>
      <c r="I25" s="832" t="str">
        <f>'Zero Waste Log'!F31</f>
        <v>once a semester</v>
      </c>
      <c r="J25" s="832">
        <f>IF(H25=0,0,VLOOKUP(H25,Conversions!$A$288:$B$296,2,FALSE))</f>
        <v>23</v>
      </c>
      <c r="K25" s="832">
        <f>IF(OR(H25="zip lock plastic bag - square",H25="zip lock plastic bag - snack size"),178,IF(H25=0,0,(VLOOKUP(I25,Conversions!$A$300:$B$305,2,FALSE))))</f>
        <v>3</v>
      </c>
      <c r="L25" s="831">
        <f t="shared" si="1"/>
        <v>69</v>
      </c>
      <c r="M25" s="898" t="str">
        <f>'Zero Waste Log'!G31</f>
        <v>Rubbermaid - 1.25 cups</v>
      </c>
      <c r="N25" s="832" t="str">
        <f>'Zero Waste Log'!H31</f>
        <v>once a semester</v>
      </c>
      <c r="O25" s="832">
        <f>IF(M25=0,0,VLOOKUP(M25,Conversions!$A$288:$B$296,2,FALSE))</f>
        <v>58</v>
      </c>
      <c r="P25" s="832">
        <f>IF(OR(M25="zip lock plastic bag - square",M25="zip lock plastic bag - snack size"),178,IF(M25=0,0,(VLOOKUP(N25,Conversions!$A$300:$B$305,2,FALSE))))</f>
        <v>3</v>
      </c>
      <c r="Q25" s="897">
        <f t="shared" si="2"/>
        <v>174</v>
      </c>
      <c r="R25" s="304" t="str">
        <f>'Zero Waste Log'!I31</f>
        <v>Rubbermaid - 1.25 cups</v>
      </c>
      <c r="S25" s="832" t="str">
        <f>'Zero Waste Log'!J31</f>
        <v>once a semester</v>
      </c>
      <c r="T25" s="832">
        <f>IF(R25=0,0,VLOOKUP(R25,Conversions!$A$288:$B$296,2,FALSE))</f>
        <v>58</v>
      </c>
      <c r="U25" s="832">
        <f>IF(OR(R25="zip lock plastic bag - square",R25="zip lock plastic bag - snack size"),178,IF(R25=0,0,(VLOOKUP(S25,Conversions!$A$300:$B$305,2,FALSE))))</f>
        <v>3</v>
      </c>
      <c r="V25" s="832">
        <f t="shared" si="3"/>
        <v>174</v>
      </c>
      <c r="W25" s="832">
        <f t="shared" si="4"/>
        <v>681</v>
      </c>
      <c r="X25" s="895">
        <f>W25/Conversions!$B$5</f>
        <v>1.501355849996693</v>
      </c>
      <c r="Y25" s="895">
        <f>W25/Conversions!$B$309/(4.3*5)</f>
        <v>5.27906976744186</v>
      </c>
      <c r="Z25" s="895">
        <f>$X25*Conversions!$B$20</f>
        <v>17.140978233610696</v>
      </c>
      <c r="AA25" s="895">
        <f>($X25*Conversions!$C$20)+(X25*Conversions!$D$48)</f>
        <v>23.434296580719323</v>
      </c>
      <c r="AB25" s="896">
        <f>$X25*Conversions!$D$20</f>
        <v>3.7806374625597305</v>
      </c>
      <c r="AC25" s="883">
        <f>(Conversions!$B$292+Conversions!$B$291+Conversions!$B$290+Conversions!$B$290)*Conversions!$B$304</f>
        <v>384</v>
      </c>
      <c r="AD25" s="895">
        <f>AC25/Conversions!$B$5</f>
        <v>0.846579510130294</v>
      </c>
      <c r="AE25" s="895">
        <f>AC25/Conversions!$B$309/(4.3*5)</f>
        <v>2.9767441860465116</v>
      </c>
      <c r="AF25" s="895">
        <f>$AD25*Conversions!$B$20</f>
        <v>9.665397418071231</v>
      </c>
      <c r="AG25" s="895">
        <f>($AD25*Conversions!$C$20)+(AD25*Conversions!$D$48)</f>
        <v>13.21405269749812</v>
      </c>
      <c r="AH25" s="902">
        <f>$AD25*Conversions!$D$20</f>
        <v>2.131813194747337</v>
      </c>
      <c r="AI25" s="894">
        <f t="shared" si="5"/>
        <v>0.654776339866399</v>
      </c>
      <c r="AJ25" s="893">
        <f t="shared" si="6"/>
        <v>2.3023255813953485</v>
      </c>
      <c r="AK25" s="893">
        <f t="shared" si="7"/>
        <v>7.475580815539464</v>
      </c>
      <c r="AL25" s="893">
        <f t="shared" si="8"/>
        <v>10.220243883221203</v>
      </c>
      <c r="AM25" s="892">
        <f t="shared" si="9"/>
        <v>1.6488242678123934</v>
      </c>
    </row>
    <row r="26" spans="1:39" ht="38.25">
      <c r="A26" s="891" t="str">
        <f>'Zero Waste Log'!A32</f>
        <v>Student21</v>
      </c>
      <c r="B26" s="890" t="str">
        <f>'Zero Waste Log'!B32</f>
        <v>Y</v>
      </c>
      <c r="C26" s="304" t="str">
        <f>'Zero Waste Log'!C32</f>
        <v>zip lock plastic bag - square</v>
      </c>
      <c r="D26" s="832">
        <f>'Zero Waste Log'!D32</f>
        <v>0</v>
      </c>
      <c r="E26" s="832">
        <f>IF(C26=0,0,VLOOKUP(C26,Conversions!$A$288:$B$296,2,FALSE))</f>
        <v>3</v>
      </c>
      <c r="F26" s="832">
        <f>IF(OR(C26="zip lock plastic bag - square",C26="zip lock plastic bag - snack size"),178,IF(C26=0,0,(VLOOKUP(D26,Conversions!$A$300:$B$305,2,FALSE))))</f>
        <v>178</v>
      </c>
      <c r="G26" s="897">
        <f t="shared" si="0"/>
        <v>534</v>
      </c>
      <c r="H26" s="304" t="str">
        <f>'Zero Waste Log'!E32</f>
        <v>zip lock plastic bag - square</v>
      </c>
      <c r="I26" s="832">
        <f>'Zero Waste Log'!F32</f>
        <v>0</v>
      </c>
      <c r="J26" s="832">
        <f>IF(H26=0,0,VLOOKUP(H26,Conversions!$A$288:$B$296,2,FALSE))</f>
        <v>3</v>
      </c>
      <c r="K26" s="832">
        <f>IF(OR(H26="zip lock plastic bag - square",H26="zip lock plastic bag - snack size"),178,IF(H26=0,0,(VLOOKUP(I26,Conversions!$A$300:$B$305,2,FALSE))))</f>
        <v>178</v>
      </c>
      <c r="L26" s="831">
        <f t="shared" si="1"/>
        <v>534</v>
      </c>
      <c r="M26" s="898" t="str">
        <f>'Zero Waste Log'!G32</f>
        <v>zip lock plastic bag - snack size</v>
      </c>
      <c r="N26" s="832">
        <f>'Zero Waste Log'!H32</f>
        <v>0</v>
      </c>
      <c r="O26" s="832">
        <f>IF(M26=0,0,VLOOKUP(M26,Conversions!$A$288:$B$296,2,FALSE))</f>
        <v>1.5</v>
      </c>
      <c r="P26" s="832">
        <f>IF(OR(M26="zip lock plastic bag - square",M26="zip lock plastic bag - snack size"),178,IF(M26=0,0,(VLOOKUP(N26,Conversions!$A$300:$B$305,2,FALSE))))</f>
        <v>178</v>
      </c>
      <c r="Q26" s="897">
        <f t="shared" si="2"/>
        <v>267</v>
      </c>
      <c r="R26" s="304">
        <f>'Zero Waste Log'!I32</f>
        <v>0</v>
      </c>
      <c r="S26" s="832">
        <f>'Zero Waste Log'!J32</f>
        <v>0</v>
      </c>
      <c r="T26" s="832">
        <f>IF(R26=0,0,VLOOKUP(R26,Conversions!$A$288:$B$296,2,FALSE))</f>
        <v>0</v>
      </c>
      <c r="U26" s="832">
        <f>IF(OR(R26="zip lock plastic bag - square",R26="zip lock plastic bag - snack size"),178,IF(R26=0,0,(VLOOKUP(S26,Conversions!$A$300:$B$305,2,FALSE))))</f>
        <v>0</v>
      </c>
      <c r="V26" s="832">
        <f t="shared" si="3"/>
        <v>0</v>
      </c>
      <c r="W26" s="832">
        <f t="shared" si="4"/>
        <v>1335</v>
      </c>
      <c r="X26" s="895">
        <f>W26/Conversions!$B$5</f>
        <v>2.94318657818735</v>
      </c>
      <c r="Y26" s="895">
        <f>W26/Conversions!$B$309/(4.3*5)</f>
        <v>10.348837209302326</v>
      </c>
      <c r="Z26" s="895">
        <f>$X26*Conversions!$B$20</f>
        <v>33.60235821126326</v>
      </c>
      <c r="AA26" s="895">
        <f>($X26*Conversions!$C$20)+(X26*Conversions!$D$48)</f>
        <v>45.93948008114581</v>
      </c>
      <c r="AB26" s="896">
        <f>$X26*Conversions!$D$20</f>
        <v>7.411381809863789</v>
      </c>
      <c r="AC26" s="883">
        <f>(Conversions!$B$292+Conversions!$B$291+Conversions!$B$290+Conversions!$B$290)*Conversions!$B$304</f>
        <v>384</v>
      </c>
      <c r="AD26" s="895">
        <f>AC26/Conversions!$B$5</f>
        <v>0.846579510130294</v>
      </c>
      <c r="AE26" s="895">
        <f>AC26/Conversions!$B$309/(4.3*5)</f>
        <v>2.9767441860465116</v>
      </c>
      <c r="AF26" s="895">
        <f>$AD26*Conversions!$B$20</f>
        <v>9.665397418071231</v>
      </c>
      <c r="AG26" s="895">
        <f>($AD26*Conversions!$C$20)+(AD26*Conversions!$D$48)</f>
        <v>13.21405269749812</v>
      </c>
      <c r="AH26" s="902">
        <f>$AD26*Conversions!$D$20</f>
        <v>2.131813194747337</v>
      </c>
      <c r="AI26" s="894">
        <f t="shared" si="5"/>
        <v>2.0966070680570557</v>
      </c>
      <c r="AJ26" s="893">
        <f t="shared" si="6"/>
        <v>7.372093023255815</v>
      </c>
      <c r="AK26" s="893">
        <f t="shared" si="7"/>
        <v>23.93696079319203</v>
      </c>
      <c r="AL26" s="893">
        <f t="shared" si="8"/>
        <v>32.72542738364769</v>
      </c>
      <c r="AM26" s="892">
        <f t="shared" si="9"/>
        <v>5.279568615116451</v>
      </c>
    </row>
    <row r="27" spans="1:39" ht="38.25">
      <c r="A27" s="891" t="str">
        <f>'Zero Waste Log'!A33</f>
        <v>Student22</v>
      </c>
      <c r="B27" s="890" t="str">
        <f>'Zero Waste Log'!B33</f>
        <v>Y</v>
      </c>
      <c r="C27" s="304" t="str">
        <f>'Zero Waste Log'!C33</f>
        <v>zip lock plastic bag - square</v>
      </c>
      <c r="D27" s="832">
        <f>'Zero Waste Log'!D33</f>
        <v>0</v>
      </c>
      <c r="E27" s="832">
        <f>IF(C27=0,0,VLOOKUP(C27,Conversions!$A$288:$B$296,2,FALSE))</f>
        <v>3</v>
      </c>
      <c r="F27" s="832">
        <f>IF(OR(C27="zip lock plastic bag - square",C27="zip lock plastic bag - snack size"),178,IF(C27=0,0,(VLOOKUP(D27,Conversions!$A$300:$B$305,2,FALSE))))</f>
        <v>178</v>
      </c>
      <c r="G27" s="897">
        <f t="shared" si="0"/>
        <v>534</v>
      </c>
      <c r="H27" s="304" t="str">
        <f>'Zero Waste Log'!E33</f>
        <v>zip lock plastic bag - snack size</v>
      </c>
      <c r="I27" s="832">
        <f>'Zero Waste Log'!F33</f>
        <v>0</v>
      </c>
      <c r="J27" s="832">
        <f>IF(H27=0,0,VLOOKUP(H27,Conversions!$A$288:$B$296,2,FALSE))</f>
        <v>1.5</v>
      </c>
      <c r="K27" s="832">
        <f>IF(OR(H27="zip lock plastic bag - square",H27="zip lock plastic bag - snack size"),178,IF(H27=0,0,(VLOOKUP(I27,Conversions!$A$300:$B$305,2,FALSE))))</f>
        <v>178</v>
      </c>
      <c r="L27" s="831">
        <f t="shared" si="1"/>
        <v>267</v>
      </c>
      <c r="M27" s="898" t="str">
        <f>'Zero Waste Log'!G33</f>
        <v>zip lock plastic bag - snack size</v>
      </c>
      <c r="N27" s="832">
        <f>'Zero Waste Log'!H33</f>
        <v>0</v>
      </c>
      <c r="O27" s="832">
        <f>IF(M27=0,0,VLOOKUP(M27,Conversions!$A$288:$B$296,2,FALSE))</f>
        <v>1.5</v>
      </c>
      <c r="P27" s="832">
        <f>IF(OR(M27="zip lock plastic bag - square",M27="zip lock plastic bag - snack size"),178,IF(M27=0,0,(VLOOKUP(N27,Conversions!$A$300:$B$305,2,FALSE))))</f>
        <v>178</v>
      </c>
      <c r="Q27" s="897">
        <f t="shared" si="2"/>
        <v>267</v>
      </c>
      <c r="R27" s="304" t="str">
        <f>'Zero Waste Log'!I33</f>
        <v>zip lock plastic bag - snack size</v>
      </c>
      <c r="S27" s="832">
        <f>'Zero Waste Log'!J33</f>
        <v>0</v>
      </c>
      <c r="T27" s="832">
        <f>IF(R27=0,0,VLOOKUP(R27,Conversions!$A$288:$B$296,2,FALSE))</f>
        <v>1.5</v>
      </c>
      <c r="U27" s="832">
        <f>IF(OR(R27="zip lock plastic bag - square",R27="zip lock plastic bag - snack size"),178,IF(R27=0,0,(VLOOKUP(S27,Conversions!$A$300:$B$305,2,FALSE))))</f>
        <v>178</v>
      </c>
      <c r="V27" s="832">
        <f t="shared" si="3"/>
        <v>267</v>
      </c>
      <c r="W27" s="832">
        <f t="shared" si="4"/>
        <v>1335</v>
      </c>
      <c r="X27" s="895">
        <f>W27/Conversions!$B$5</f>
        <v>2.94318657818735</v>
      </c>
      <c r="Y27" s="895">
        <f>W27/Conversions!$B$309/(4.3*5)</f>
        <v>10.348837209302326</v>
      </c>
      <c r="Z27" s="895">
        <f>$X27*Conversions!$B$20</f>
        <v>33.60235821126326</v>
      </c>
      <c r="AA27" s="895">
        <f>($X27*Conversions!$C$20)+(X27*Conversions!$D$48)</f>
        <v>45.93948008114581</v>
      </c>
      <c r="AB27" s="896">
        <f>$X27*Conversions!$D$20</f>
        <v>7.411381809863789</v>
      </c>
      <c r="AC27" s="883">
        <f>(Conversions!$B$292+Conversions!$B$291+Conversions!$B$290+Conversions!$B$290)*Conversions!$B$304</f>
        <v>384</v>
      </c>
      <c r="AD27" s="895">
        <f>AC27/Conversions!$B$5</f>
        <v>0.846579510130294</v>
      </c>
      <c r="AE27" s="895">
        <f>AC27/Conversions!$B$309/(4.3*5)</f>
        <v>2.9767441860465116</v>
      </c>
      <c r="AF27" s="895">
        <f>$AD27*Conversions!$B$20</f>
        <v>9.665397418071231</v>
      </c>
      <c r="AG27" s="895">
        <f>($AD27*Conversions!$C$20)+(AD27*Conversions!$D$48)</f>
        <v>13.21405269749812</v>
      </c>
      <c r="AH27" s="902">
        <f>$AD27*Conversions!$D$20</f>
        <v>2.131813194747337</v>
      </c>
      <c r="AI27" s="894">
        <f t="shared" si="5"/>
        <v>2.0966070680570557</v>
      </c>
      <c r="AJ27" s="893">
        <f t="shared" si="6"/>
        <v>7.372093023255815</v>
      </c>
      <c r="AK27" s="893">
        <f t="shared" si="7"/>
        <v>23.93696079319203</v>
      </c>
      <c r="AL27" s="893">
        <f t="shared" si="8"/>
        <v>32.72542738364769</v>
      </c>
      <c r="AM27" s="892">
        <f t="shared" si="9"/>
        <v>5.279568615116451</v>
      </c>
    </row>
    <row r="28" spans="1:39" ht="38.25">
      <c r="A28" s="891" t="str">
        <f>'Zero Waste Log'!A34</f>
        <v>Student23</v>
      </c>
      <c r="B28" s="890" t="str">
        <f>'Zero Waste Log'!B34</f>
        <v>Y</v>
      </c>
      <c r="C28" s="304" t="str">
        <f>'Zero Waste Log'!C34</f>
        <v>Laptop Lunch - bento box</v>
      </c>
      <c r="D28" s="832" t="str">
        <f>'Zero Waste Log'!D34</f>
        <v>do not lose containers</v>
      </c>
      <c r="E28" s="832">
        <f>IF(C28=0,0,VLOOKUP(C28,Conversions!$A$288:$B$296,2,FALSE))</f>
        <v>400</v>
      </c>
      <c r="F28" s="832">
        <f>IF(OR(C28="zip lock plastic bag - square",C28="zip lock plastic bag - snack size"),178,IF(C28=0,0,(VLOOKUP(D28,Conversions!$A$300:$B$305,2,FALSE))))</f>
        <v>1</v>
      </c>
      <c r="G28" s="897">
        <f t="shared" si="0"/>
        <v>400</v>
      </c>
      <c r="H28" s="304" t="str">
        <f>'Zero Waste Log'!E34</f>
        <v>Laptop Lunch - water bottle</v>
      </c>
      <c r="I28" s="832" t="str">
        <f>'Zero Waste Log'!F34</f>
        <v>do not lose containers</v>
      </c>
      <c r="J28" s="832">
        <f>IF(H28=0,0,VLOOKUP(H28,Conversions!$A$288:$B$296,2,FALSE))</f>
        <v>37</v>
      </c>
      <c r="K28" s="832">
        <f>IF(OR(H28="zip lock plastic bag - square",H28="zip lock plastic bag - snack size"),178,IF(H28=0,0,(VLOOKUP(I28,Conversions!$A$300:$B$305,2,FALSE))))</f>
        <v>1</v>
      </c>
      <c r="L28" s="831">
        <f t="shared" si="1"/>
        <v>37</v>
      </c>
      <c r="M28" s="898">
        <f>'Zero Waste Log'!G34</f>
        <v>0</v>
      </c>
      <c r="N28" s="832">
        <f>'Zero Waste Log'!H34</f>
        <v>0</v>
      </c>
      <c r="O28" s="832">
        <f>IF(M28=0,0,VLOOKUP(M28,Conversions!$A$288:$B$296,2,FALSE))</f>
        <v>0</v>
      </c>
      <c r="P28" s="832">
        <f>IF(OR(M28="zip lock plastic bag - square",M28="zip lock plastic bag - snack size"),178,IF(M28=0,0,(VLOOKUP(N28,Conversions!$A$300:$B$305,2,FALSE))))</f>
        <v>0</v>
      </c>
      <c r="Q28" s="897">
        <f t="shared" si="2"/>
        <v>0</v>
      </c>
      <c r="R28" s="304">
        <f>'Zero Waste Log'!I34</f>
        <v>0</v>
      </c>
      <c r="S28" s="832">
        <f>'Zero Waste Log'!J34</f>
        <v>0</v>
      </c>
      <c r="T28" s="832">
        <f>IF(R28=0,0,VLOOKUP(R28,Conversions!$A$288:$B$296,2,FALSE))</f>
        <v>0</v>
      </c>
      <c r="U28" s="832">
        <f>IF(OR(R28="zip lock plastic bag - square",R28="zip lock plastic bag - snack size"),178,IF(R28=0,0,(VLOOKUP(S28,Conversions!$A$300:$B$305,2,FALSE))))</f>
        <v>0</v>
      </c>
      <c r="V28" s="832">
        <f t="shared" si="3"/>
        <v>0</v>
      </c>
      <c r="W28" s="832">
        <f t="shared" si="4"/>
        <v>437</v>
      </c>
      <c r="X28" s="895">
        <f>W28/Conversions!$B$5</f>
        <v>0.9634251196014022</v>
      </c>
      <c r="Y28" s="895">
        <f>W28/Conversions!$B$309/(4.3*5)</f>
        <v>3.387596899224806</v>
      </c>
      <c r="Z28" s="895">
        <f>$X28*Conversions!$B$20</f>
        <v>10.99942362421127</v>
      </c>
      <c r="AA28" s="895">
        <f>($X28*Conversions!$C$20)+(X28*Conversions!$D$48)</f>
        <v>15.037867262517393</v>
      </c>
      <c r="AB28" s="896">
        <f>$X28*Conversions!$D$20</f>
        <v>2.42604782839736</v>
      </c>
      <c r="AC28" s="883">
        <f>(Conversions!$B$292+Conversions!$B$291+Conversions!$B$290+Conversions!$B$290)*Conversions!$B$304</f>
        <v>384</v>
      </c>
      <c r="AD28" s="895">
        <f>AC28/Conversions!$B$5</f>
        <v>0.846579510130294</v>
      </c>
      <c r="AE28" s="895">
        <f>AC28/Conversions!$B$309/(4.3*5)</f>
        <v>2.9767441860465116</v>
      </c>
      <c r="AF28" s="895">
        <f>$AD28*Conversions!$B$20</f>
        <v>9.665397418071231</v>
      </c>
      <c r="AG28" s="895">
        <f>($AD28*Conversions!$C$20)+(AD28*Conversions!$D$48)</f>
        <v>13.21405269749812</v>
      </c>
      <c r="AH28" s="902">
        <f>$AD28*Conversions!$D$20</f>
        <v>2.131813194747337</v>
      </c>
      <c r="AI28" s="894">
        <f t="shared" si="5"/>
        <v>0.11684560947110822</v>
      </c>
      <c r="AJ28" s="893">
        <f t="shared" si="6"/>
        <v>0.4108527131782944</v>
      </c>
      <c r="AK28" s="893">
        <f t="shared" si="7"/>
        <v>1.334026206140038</v>
      </c>
      <c r="AL28" s="893">
        <f t="shared" si="8"/>
        <v>1.8238145650192727</v>
      </c>
      <c r="AM28" s="892">
        <f t="shared" si="9"/>
        <v>0.294234633650023</v>
      </c>
    </row>
    <row r="29" spans="1:39" ht="12.75">
      <c r="A29" s="891" t="str">
        <f>'Zero Waste Log'!A35</f>
        <v>Student24</v>
      </c>
      <c r="B29" s="890" t="str">
        <f>'Zero Waste Log'!B35</f>
        <v>n</v>
      </c>
      <c r="C29" s="304">
        <f>'Zero Waste Log'!C35</f>
        <v>0</v>
      </c>
      <c r="D29" s="832">
        <f>'Zero Waste Log'!D35</f>
        <v>0</v>
      </c>
      <c r="E29" s="832">
        <f>IF(C29=0,0,VLOOKUP(C29,Conversions!$A$288:$B$296,2,FALSE))</f>
        <v>0</v>
      </c>
      <c r="F29" s="832">
        <f>IF(OR(C29="zip lock plastic bag - square",C29="zip lock plastic bag - snack size"),178,IF(C29=0,0,(VLOOKUP(D29,Conversions!$A$300:$B$305,2,FALSE))))</f>
        <v>0</v>
      </c>
      <c r="G29" s="897">
        <f t="shared" si="0"/>
        <v>0</v>
      </c>
      <c r="H29" s="304">
        <f>'Zero Waste Log'!E35</f>
        <v>0</v>
      </c>
      <c r="I29" s="832">
        <f>'Zero Waste Log'!F35</f>
        <v>0</v>
      </c>
      <c r="J29" s="832">
        <f>IF(H29=0,0,VLOOKUP(H29,Conversions!$A$288:$B$296,2,FALSE))</f>
        <v>0</v>
      </c>
      <c r="K29" s="832">
        <f>IF(OR(H29="zip lock plastic bag - square",H29="zip lock plastic bag - snack size"),178,IF(H29=0,0,(VLOOKUP(I29,Conversions!$A$300:$B$305,2,FALSE))))</f>
        <v>0</v>
      </c>
      <c r="L29" s="831">
        <f t="shared" si="1"/>
        <v>0</v>
      </c>
      <c r="M29" s="898">
        <f>'Zero Waste Log'!G35</f>
        <v>0</v>
      </c>
      <c r="N29" s="832">
        <f>'Zero Waste Log'!H35</f>
        <v>0</v>
      </c>
      <c r="O29" s="832">
        <f>IF(M29=0,0,VLOOKUP(M29,Conversions!$A$288:$B$296,2,FALSE))</f>
        <v>0</v>
      </c>
      <c r="P29" s="832">
        <f>IF(OR(M29="zip lock plastic bag - square",M29="zip lock plastic bag - snack size"),178,IF(M29=0,0,(VLOOKUP(N29,Conversions!$A$300:$B$305,2,FALSE))))</f>
        <v>0</v>
      </c>
      <c r="Q29" s="897">
        <f t="shared" si="2"/>
        <v>0</v>
      </c>
      <c r="R29" s="304">
        <f>'Zero Waste Log'!I35</f>
        <v>0</v>
      </c>
      <c r="S29" s="832">
        <f>'Zero Waste Log'!J35</f>
        <v>0</v>
      </c>
      <c r="T29" s="832">
        <f>IF(R29=0,0,VLOOKUP(R29,Conversions!$A$288:$B$296,2,FALSE))</f>
        <v>0</v>
      </c>
      <c r="U29" s="832">
        <f>IF(OR(R29="zip lock plastic bag - square",R29="zip lock plastic bag - snack size"),178,IF(R29=0,0,(VLOOKUP(S29,Conversions!$A$300:$B$305,2,FALSE))))</f>
        <v>0</v>
      </c>
      <c r="V29" s="832">
        <f t="shared" si="3"/>
        <v>0</v>
      </c>
      <c r="W29" s="832">
        <f t="shared" si="4"/>
        <v>0</v>
      </c>
      <c r="X29" s="895">
        <f>W29/Conversions!$B$5</f>
        <v>0</v>
      </c>
      <c r="Y29" s="895">
        <f>W29/Conversions!$B$309/(4.3*5)</f>
        <v>0</v>
      </c>
      <c r="Z29" s="895">
        <f>$X29*Conversions!$B$20</f>
        <v>0</v>
      </c>
      <c r="AA29" s="895">
        <f>($X29*Conversions!$C$20)+(X29*Conversions!$D$48)</f>
        <v>0</v>
      </c>
      <c r="AB29" s="896">
        <f>$X29*Conversions!$D$20</f>
        <v>0</v>
      </c>
      <c r="AC29" s="883">
        <f>(Conversions!$B$292+Conversions!$B$291+Conversions!$B$290+Conversions!$B$290)*Conversions!$B$304</f>
        <v>384</v>
      </c>
      <c r="AD29" s="895">
        <f>AC29/Conversions!$B$5</f>
        <v>0.846579510130294</v>
      </c>
      <c r="AE29" s="895">
        <f>AC29/Conversions!$B$309/(4.3*5)</f>
        <v>2.9767441860465116</v>
      </c>
      <c r="AF29" s="895">
        <f>$AD29*Conversions!$B$20</f>
        <v>9.665397418071231</v>
      </c>
      <c r="AG29" s="895">
        <f>($AD29*Conversions!$C$20)+(AD29*Conversions!$D$48)</f>
        <v>13.21405269749812</v>
      </c>
      <c r="AH29" s="902">
        <f>$AD29*Conversions!$D$20</f>
        <v>2.131813194747337</v>
      </c>
      <c r="AI29" s="894">
        <f t="shared" si="5"/>
        <v>0</v>
      </c>
      <c r="AJ29" s="893">
        <f t="shared" si="6"/>
        <v>0</v>
      </c>
      <c r="AK29" s="893">
        <f t="shared" si="7"/>
        <v>0</v>
      </c>
      <c r="AL29" s="893">
        <f t="shared" si="8"/>
        <v>0</v>
      </c>
      <c r="AM29" s="892">
        <f t="shared" si="9"/>
        <v>0</v>
      </c>
    </row>
    <row r="30" spans="1:39" ht="38.25">
      <c r="A30" s="891" t="str">
        <f>'Zero Waste Log'!A36</f>
        <v>Student25</v>
      </c>
      <c r="B30" s="890" t="str">
        <f>'Zero Waste Log'!B36</f>
        <v>y</v>
      </c>
      <c r="C30" s="304" t="str">
        <f>'Zero Waste Log'!C36</f>
        <v>rubber maid - 14 oz cylinder</v>
      </c>
      <c r="D30" s="832" t="str">
        <f>'Zero Waste Log'!D36</f>
        <v>once every other month</v>
      </c>
      <c r="E30" s="832">
        <f>IF(C30=0,0,VLOOKUP(C30,Conversions!$A$288:$B$296,2,FALSE))</f>
        <v>68</v>
      </c>
      <c r="F30" s="832">
        <f>IF(OR(C30="zip lock plastic bag - square",C30="zip lock plastic bag - snack size"),178,IF(C30=0,0,(VLOOKUP(D30,Conversions!$A$300:$B$305,2,FALSE))))</f>
        <v>5.5</v>
      </c>
      <c r="G30" s="897">
        <f t="shared" si="0"/>
        <v>374</v>
      </c>
      <c r="H30" s="304" t="str">
        <f>'Zero Waste Log'!E36</f>
        <v>Rubbermaid - 1.25 cups</v>
      </c>
      <c r="I30" s="832" t="str">
        <f>'Zero Waste Log'!F36</f>
        <v>once every third month</v>
      </c>
      <c r="J30" s="832">
        <f>IF(H30=0,0,VLOOKUP(H30,Conversions!$A$288:$B$296,2,FALSE))</f>
        <v>58</v>
      </c>
      <c r="K30" s="832">
        <f>IF(OR(H30="zip lock plastic bag - square",H30="zip lock plastic bag - snack size"),178,IF(H30=0,0,(VLOOKUP(I30,Conversions!$A$300:$B$305,2,FALSE))))</f>
        <v>4</v>
      </c>
      <c r="L30" s="831">
        <f t="shared" si="1"/>
        <v>232</v>
      </c>
      <c r="M30" s="898" t="str">
        <f>'Zero Waste Log'!G36</f>
        <v>Rubbermaid - 1.25 cups</v>
      </c>
      <c r="N30" s="832" t="str">
        <f>'Zero Waste Log'!H36</f>
        <v>once every other month</v>
      </c>
      <c r="O30" s="832">
        <f>IF(M30=0,0,VLOOKUP(M30,Conversions!$A$288:$B$296,2,FALSE))</f>
        <v>58</v>
      </c>
      <c r="P30" s="832">
        <f>IF(OR(M30="zip lock plastic bag - square",M30="zip lock plastic bag - snack size"),178,IF(M30=0,0,(VLOOKUP(N30,Conversions!$A$300:$B$305,2,FALSE))))</f>
        <v>5.5</v>
      </c>
      <c r="Q30" s="897">
        <f t="shared" si="2"/>
        <v>319</v>
      </c>
      <c r="R30" s="304">
        <f>'Zero Waste Log'!I36</f>
        <v>0</v>
      </c>
      <c r="S30" s="832">
        <f>'Zero Waste Log'!J36</f>
        <v>0</v>
      </c>
      <c r="T30" s="832">
        <f>IF(R30=0,0,VLOOKUP(R30,Conversions!$A$288:$B$296,2,FALSE))</f>
        <v>0</v>
      </c>
      <c r="U30" s="832">
        <f>IF(OR(R30="zip lock plastic bag - square",R30="zip lock plastic bag - snack size"),178,IF(R30=0,0,(VLOOKUP(S30,Conversions!$A$300:$B$305,2,FALSE))))</f>
        <v>0</v>
      </c>
      <c r="V30" s="832">
        <f t="shared" si="3"/>
        <v>0</v>
      </c>
      <c r="W30" s="832">
        <f t="shared" si="4"/>
        <v>925</v>
      </c>
      <c r="X30" s="895">
        <f>W30/Conversions!$B$5</f>
        <v>2.039286580391984</v>
      </c>
      <c r="Y30" s="895">
        <f>W30/Conversions!$B$309/(4.3*5)</f>
        <v>7.170542635658914</v>
      </c>
      <c r="Z30" s="895">
        <f>$X30*Conversions!$B$20</f>
        <v>23.282532843010124</v>
      </c>
      <c r="AA30" s="895">
        <f>($X30*Conversions!$C$20)+(X30*Conversions!$D$48)</f>
        <v>31.830725898921255</v>
      </c>
      <c r="AB30" s="896">
        <f>$X30*Conversions!$D$20</f>
        <v>5.135227096722101</v>
      </c>
      <c r="AC30" s="883">
        <f>(Conversions!$B$292+Conversions!$B$291+Conversions!$B$290+Conversions!$B$290)*Conversions!$B$304</f>
        <v>384</v>
      </c>
      <c r="AD30" s="895">
        <f>AC30/Conversions!$B$5</f>
        <v>0.846579510130294</v>
      </c>
      <c r="AE30" s="895">
        <f>AC30/Conversions!$B$309/(4.3*5)</f>
        <v>2.9767441860465116</v>
      </c>
      <c r="AF30" s="895">
        <f>$AD30*Conversions!$B$20</f>
        <v>9.665397418071231</v>
      </c>
      <c r="AG30" s="895">
        <f>($AD30*Conversions!$C$20)+(AD30*Conversions!$D$48)</f>
        <v>13.21405269749812</v>
      </c>
      <c r="AH30" s="902">
        <f>$AD30*Conversions!$D$20</f>
        <v>2.131813194747337</v>
      </c>
      <c r="AI30" s="894">
        <f t="shared" si="5"/>
        <v>1.19270707026169</v>
      </c>
      <c r="AJ30" s="893">
        <f t="shared" si="6"/>
        <v>4.193798449612403</v>
      </c>
      <c r="AK30" s="893">
        <f t="shared" si="7"/>
        <v>13.617135424938892</v>
      </c>
      <c r="AL30" s="893">
        <f t="shared" si="8"/>
        <v>18.616673201423133</v>
      </c>
      <c r="AM30" s="892">
        <f t="shared" si="9"/>
        <v>3.003413901974764</v>
      </c>
    </row>
    <row r="31" spans="1:39" ht="12.75">
      <c r="A31" s="891" t="str">
        <f>'Zero Waste Log'!A37</f>
        <v>Student26</v>
      </c>
      <c r="B31" s="890" t="str">
        <f>'Zero Waste Log'!B37</f>
        <v>n</v>
      </c>
      <c r="C31" s="303">
        <f>'Zero Waste Log'!C37</f>
        <v>0</v>
      </c>
      <c r="D31" s="887">
        <f>'Zero Waste Log'!D37</f>
        <v>0</v>
      </c>
      <c r="E31" s="887">
        <f>IF(C31=0,0,VLOOKUP(C31,Conversions!$A$288:$B$296,2,FALSE))</f>
        <v>0</v>
      </c>
      <c r="F31" s="887">
        <f>IF(OR(C31="zip lock plastic bag - square",C31="zip lock plastic bag - snack size"),178,IF(C31=0,0,(VLOOKUP(D31,Conversions!$A$300:$B$305,2,FALSE))))</f>
        <v>0</v>
      </c>
      <c r="G31" s="886">
        <f t="shared" si="0"/>
        <v>0</v>
      </c>
      <c r="H31" s="303">
        <f>'Zero Waste Log'!E37</f>
        <v>0</v>
      </c>
      <c r="I31" s="887">
        <f>'Zero Waste Log'!F37</f>
        <v>0</v>
      </c>
      <c r="J31" s="887">
        <f>IF(H31=0,0,VLOOKUP(H31,Conversions!$A$288:$B$296,2,FALSE))</f>
        <v>0</v>
      </c>
      <c r="K31" s="887">
        <f>IF(OR(H31="zip lock plastic bag - square",H31="zip lock plastic bag - snack size"),178,IF(H31=0,0,(VLOOKUP(I31,Conversions!$A$300:$B$305,2,FALSE))))</f>
        <v>0</v>
      </c>
      <c r="L31" s="889">
        <f t="shared" si="1"/>
        <v>0</v>
      </c>
      <c r="M31" s="888">
        <f>'Zero Waste Log'!G37</f>
        <v>0</v>
      </c>
      <c r="N31" s="887">
        <f>'Zero Waste Log'!H37</f>
        <v>0</v>
      </c>
      <c r="O31" s="887">
        <f>IF(M31=0,0,VLOOKUP(M31,Conversions!$A$288:$B$296,2,FALSE))</f>
        <v>0</v>
      </c>
      <c r="P31" s="887">
        <f>IF(OR(M31="zip lock plastic bag - square",M31="zip lock plastic bag - snack size"),178,IF(M31=0,0,(VLOOKUP(N31,Conversions!$A$300:$B$305,2,FALSE))))</f>
        <v>0</v>
      </c>
      <c r="Q31" s="886">
        <f t="shared" si="2"/>
        <v>0</v>
      </c>
      <c r="R31" s="304">
        <f>'Zero Waste Log'!I37</f>
        <v>0</v>
      </c>
      <c r="S31" s="832">
        <f>'Zero Waste Log'!J37</f>
        <v>0</v>
      </c>
      <c r="T31" s="832">
        <f>IF(R31=0,0,VLOOKUP(R31,Conversions!$A$288:$B$296,2,FALSE))</f>
        <v>0</v>
      </c>
      <c r="U31" s="832">
        <f>IF(OR(R31="zip lock plastic bag - square",R31="zip lock plastic bag - snack size"),178,IF(R31=0,0,(VLOOKUP(S31,Conversions!$A$300:$B$305,2,FALSE))))</f>
        <v>0</v>
      </c>
      <c r="V31" s="832">
        <f t="shared" si="3"/>
        <v>0</v>
      </c>
      <c r="W31" s="832">
        <f t="shared" si="4"/>
        <v>0</v>
      </c>
      <c r="X31" s="895">
        <f>W31/Conversions!$B$5</f>
        <v>0</v>
      </c>
      <c r="Y31" s="895">
        <f>W31/Conversions!$B$309/(4.3*5)</f>
        <v>0</v>
      </c>
      <c r="Z31" s="895">
        <f>$X31*Conversions!$B$20</f>
        <v>0</v>
      </c>
      <c r="AA31" s="895">
        <f>($X31*Conversions!$C$20)+(X31*Conversions!$D$48)</f>
        <v>0</v>
      </c>
      <c r="AB31" s="896">
        <f>$X31*Conversions!$D$20</f>
        <v>0</v>
      </c>
      <c r="AC31" s="883">
        <f>(Conversions!$B$292+Conversions!$B$291+Conversions!$B$290+Conversions!$B$290)*Conversions!$B$304</f>
        <v>384</v>
      </c>
      <c r="AD31" s="895">
        <f>AC31/Conversions!$B$5</f>
        <v>0.846579510130294</v>
      </c>
      <c r="AE31" s="895">
        <f>AC31/Conversions!$B$309/(4.3*5)</f>
        <v>2.9767441860465116</v>
      </c>
      <c r="AF31" s="895">
        <f>$AD31*Conversions!$B$20</f>
        <v>9.665397418071231</v>
      </c>
      <c r="AG31" s="895">
        <f>($AD31*Conversions!$C$20)+(AD31*Conversions!$D$48)</f>
        <v>13.21405269749812</v>
      </c>
      <c r="AH31" s="902">
        <f>$AD31*Conversions!$D$20</f>
        <v>2.131813194747337</v>
      </c>
      <c r="AI31" s="894">
        <f t="shared" si="5"/>
        <v>0</v>
      </c>
      <c r="AJ31" s="893">
        <f t="shared" si="6"/>
        <v>0</v>
      </c>
      <c r="AK31" s="893">
        <f t="shared" si="7"/>
        <v>0</v>
      </c>
      <c r="AL31" s="893">
        <f t="shared" si="8"/>
        <v>0</v>
      </c>
      <c r="AM31" s="892">
        <f t="shared" si="9"/>
        <v>0</v>
      </c>
    </row>
    <row r="32" spans="1:39" ht="12.75">
      <c r="A32" s="891" t="str">
        <f>'Zero Waste Log'!A38</f>
        <v>Student27</v>
      </c>
      <c r="B32" s="890">
        <f>'Zero Waste Log'!B38</f>
        <v>0</v>
      </c>
      <c r="C32" s="303">
        <f>'Zero Waste Log'!C38</f>
        <v>0</v>
      </c>
      <c r="D32" s="887">
        <f>'Zero Waste Log'!D38</f>
        <v>0</v>
      </c>
      <c r="E32" s="887">
        <f>IF(C32=0,0,VLOOKUP(C32,Conversions!$A$288:$B$296,2,FALSE))</f>
        <v>0</v>
      </c>
      <c r="F32" s="887">
        <f>IF(OR(C32="zip lock plastic bag - square",C32="zip lock plastic bag - snack size"),178,IF(C32=0,0,(VLOOKUP(D32,Conversions!$A$300:$B$305,2,FALSE))))</f>
        <v>0</v>
      </c>
      <c r="G32" s="886">
        <f t="shared" si="0"/>
        <v>0</v>
      </c>
      <c r="H32" s="303">
        <f>'Zero Waste Log'!E38</f>
        <v>0</v>
      </c>
      <c r="I32" s="887">
        <f>'Zero Waste Log'!F38</f>
        <v>0</v>
      </c>
      <c r="J32" s="887">
        <f>IF(H32=0,0,VLOOKUP(H32,Conversions!$A$288:$B$296,2,FALSE))</f>
        <v>0</v>
      </c>
      <c r="K32" s="887">
        <f>IF(OR(H32="zip lock plastic bag - square",H32="zip lock plastic bag - snack size"),178,IF(H32=0,0,(VLOOKUP(I32,Conversions!$A$300:$B$305,2,FALSE))))</f>
        <v>0</v>
      </c>
      <c r="L32" s="889">
        <f t="shared" si="1"/>
        <v>0</v>
      </c>
      <c r="M32" s="888">
        <f>'Zero Waste Log'!G38</f>
        <v>0</v>
      </c>
      <c r="N32" s="887">
        <f>'Zero Waste Log'!H38</f>
        <v>0</v>
      </c>
      <c r="O32" s="887">
        <f>IF(M32=0,0,VLOOKUP(M32,Conversions!$A$288:$B$296,2,FALSE))</f>
        <v>0</v>
      </c>
      <c r="P32" s="887">
        <f>IF(OR(M32="zip lock plastic bag - square",M32="zip lock plastic bag - snack size"),178,IF(M32=0,0,(VLOOKUP(N32,Conversions!$A$300:$B$305,2,FALSE))))</f>
        <v>0</v>
      </c>
      <c r="Q32" s="886">
        <f t="shared" si="2"/>
        <v>0</v>
      </c>
      <c r="R32" s="304">
        <f>'Zero Waste Log'!I38</f>
        <v>0</v>
      </c>
      <c r="S32" s="832">
        <f>'Zero Waste Log'!J38</f>
        <v>0</v>
      </c>
      <c r="T32" s="832">
        <f>IF(R32=0,0,VLOOKUP(R32,Conversions!$A$288:$B$296,2,FALSE))</f>
        <v>0</v>
      </c>
      <c r="U32" s="832">
        <f>IF(OR(R32="zip lock plastic bag - square",R32="zip lock plastic bag - snack size"),178,IF(R32=0,0,(VLOOKUP(S32,Conversions!$A$300:$B$305,2,FALSE))))</f>
        <v>0</v>
      </c>
      <c r="V32" s="832">
        <f t="shared" si="3"/>
        <v>0</v>
      </c>
      <c r="W32" s="832">
        <f t="shared" si="4"/>
        <v>0</v>
      </c>
      <c r="X32" s="895">
        <f>W32/Conversions!$B$5</f>
        <v>0</v>
      </c>
      <c r="Y32" s="895">
        <f>W32/Conversions!$B$309/(4.3*5)</f>
        <v>0</v>
      </c>
      <c r="Z32" s="895">
        <f>$X32*Conversions!$B$20</f>
        <v>0</v>
      </c>
      <c r="AA32" s="895">
        <f>($X32*Conversions!$C$20)+(X32*Conversions!$D$48)</f>
        <v>0</v>
      </c>
      <c r="AB32" s="896">
        <f>$X32*Conversions!$D$20</f>
        <v>0</v>
      </c>
      <c r="AC32" s="883">
        <f>(Conversions!$B$292+Conversions!$B$291+Conversions!$B$290+Conversions!$B$290)*Conversions!$B$304</f>
        <v>384</v>
      </c>
      <c r="AD32" s="895">
        <f>AC32/Conversions!$B$5</f>
        <v>0.846579510130294</v>
      </c>
      <c r="AE32" s="895">
        <f>AC32/Conversions!$B$309/(4.3*5)</f>
        <v>2.9767441860465116</v>
      </c>
      <c r="AF32" s="895">
        <f>$AD32*Conversions!$B$20</f>
        <v>9.665397418071231</v>
      </c>
      <c r="AG32" s="895">
        <f>($AD32*Conversions!$C$20)+(AD32*Conversions!$D$48)</f>
        <v>13.21405269749812</v>
      </c>
      <c r="AH32" s="902">
        <f>$AD32*Conversions!$D$20</f>
        <v>2.131813194747337</v>
      </c>
      <c r="AI32" s="894">
        <f t="shared" si="5"/>
        <v>0</v>
      </c>
      <c r="AJ32" s="893">
        <f t="shared" si="6"/>
        <v>0</v>
      </c>
      <c r="AK32" s="893">
        <f t="shared" si="7"/>
        <v>0</v>
      </c>
      <c r="AL32" s="893">
        <f t="shared" si="8"/>
        <v>0</v>
      </c>
      <c r="AM32" s="892">
        <f t="shared" si="9"/>
        <v>0</v>
      </c>
    </row>
    <row r="33" spans="1:39" ht="12.75">
      <c r="A33" s="891" t="str">
        <f>'Zero Waste Log'!A39</f>
        <v>Student28</v>
      </c>
      <c r="B33" s="890">
        <f>'Zero Waste Log'!B39</f>
        <v>0</v>
      </c>
      <c r="C33" s="303">
        <f>'Zero Waste Log'!C39</f>
        <v>0</v>
      </c>
      <c r="D33" s="887">
        <f>'Zero Waste Log'!D39</f>
        <v>0</v>
      </c>
      <c r="E33" s="887">
        <f>IF(C33=0,0,VLOOKUP(C33,Conversions!$A$288:$B$296,2,FALSE))</f>
        <v>0</v>
      </c>
      <c r="F33" s="887">
        <f>IF(OR(C33="zip lock plastic bag - square",C33="zip lock plastic bag - snack size"),178,IF(C33=0,0,(VLOOKUP(D33,Conversions!$A$300:$B$305,2,FALSE))))</f>
        <v>0</v>
      </c>
      <c r="G33" s="886">
        <f t="shared" si="0"/>
        <v>0</v>
      </c>
      <c r="H33" s="303">
        <f>'Zero Waste Log'!E39</f>
        <v>0</v>
      </c>
      <c r="I33" s="887">
        <f>'Zero Waste Log'!F39</f>
        <v>0</v>
      </c>
      <c r="J33" s="887">
        <f>IF(H33=0,0,VLOOKUP(H33,Conversions!$A$288:$B$296,2,FALSE))</f>
        <v>0</v>
      </c>
      <c r="K33" s="887">
        <f>IF(OR(H33="zip lock plastic bag - square",H33="zip lock plastic bag - snack size"),178,IF(H33=0,0,(VLOOKUP(I33,Conversions!$A$300:$B$305,2,FALSE))))</f>
        <v>0</v>
      </c>
      <c r="L33" s="889">
        <f t="shared" si="1"/>
        <v>0</v>
      </c>
      <c r="M33" s="888">
        <f>'Zero Waste Log'!G39</f>
        <v>0</v>
      </c>
      <c r="N33" s="887">
        <f>'Zero Waste Log'!H39</f>
        <v>0</v>
      </c>
      <c r="O33" s="887">
        <f>IF(M33=0,0,VLOOKUP(M33,Conversions!$A$288:$B$296,2,FALSE))</f>
        <v>0</v>
      </c>
      <c r="P33" s="887">
        <f>IF(OR(M33="zip lock plastic bag - square",M33="zip lock plastic bag - snack size"),178,IF(M33=0,0,(VLOOKUP(N33,Conversions!$A$300:$B$305,2,FALSE))))</f>
        <v>0</v>
      </c>
      <c r="Q33" s="886">
        <f t="shared" si="2"/>
        <v>0</v>
      </c>
      <c r="R33" s="304">
        <f>'Zero Waste Log'!I39</f>
        <v>0</v>
      </c>
      <c r="S33" s="832">
        <f>'Zero Waste Log'!J39</f>
        <v>0</v>
      </c>
      <c r="T33" s="832">
        <f>IF(R33=0,0,VLOOKUP(R33,Conversions!$A$288:$B$296,2,FALSE))</f>
        <v>0</v>
      </c>
      <c r="U33" s="832">
        <f>IF(OR(R33="zip lock plastic bag - square",R33="zip lock plastic bag - snack size"),178,IF(R33=0,0,(VLOOKUP(S33,Conversions!$A$300:$B$305,2,FALSE))))</f>
        <v>0</v>
      </c>
      <c r="V33" s="832">
        <f t="shared" si="3"/>
        <v>0</v>
      </c>
      <c r="W33" s="832">
        <f t="shared" si="4"/>
        <v>0</v>
      </c>
      <c r="X33" s="895">
        <f>W33/Conversions!$B$5</f>
        <v>0</v>
      </c>
      <c r="Y33" s="895">
        <f>W33/Conversions!$B$309/(4.3*5)</f>
        <v>0</v>
      </c>
      <c r="Z33" s="895">
        <f>$X33*Conversions!$B$20</f>
        <v>0</v>
      </c>
      <c r="AA33" s="895">
        <f>($X33*Conversions!$C$20)+(X33*Conversions!$D$48)</f>
        <v>0</v>
      </c>
      <c r="AB33" s="896">
        <f>$X33*Conversions!$D$20</f>
        <v>0</v>
      </c>
      <c r="AC33" s="883">
        <f>(Conversions!$B$292+Conversions!$B$291+Conversions!$B$290+Conversions!$B$290)*Conversions!$B$304</f>
        <v>384</v>
      </c>
      <c r="AD33" s="895">
        <f>AC33/Conversions!$B$5</f>
        <v>0.846579510130294</v>
      </c>
      <c r="AE33" s="895">
        <f>AC33/Conversions!$B$309/(4.3*5)</f>
        <v>2.9767441860465116</v>
      </c>
      <c r="AF33" s="895">
        <f>$AD33*Conversions!$B$20</f>
        <v>9.665397418071231</v>
      </c>
      <c r="AG33" s="895">
        <f>($AD33*Conversions!$C$20)+(AD33*Conversions!$D$48)</f>
        <v>13.21405269749812</v>
      </c>
      <c r="AH33" s="902">
        <f>$AD33*Conversions!$D$20</f>
        <v>2.131813194747337</v>
      </c>
      <c r="AI33" s="894">
        <f t="shared" si="5"/>
        <v>0</v>
      </c>
      <c r="AJ33" s="893">
        <f t="shared" si="6"/>
        <v>0</v>
      </c>
      <c r="AK33" s="893">
        <f t="shared" si="7"/>
        <v>0</v>
      </c>
      <c r="AL33" s="893">
        <f t="shared" si="8"/>
        <v>0</v>
      </c>
      <c r="AM33" s="892">
        <f t="shared" si="9"/>
        <v>0</v>
      </c>
    </row>
    <row r="34" spans="1:39" ht="12.75">
      <c r="A34" s="891" t="str">
        <f>'Zero Waste Log'!A40</f>
        <v>Student29</v>
      </c>
      <c r="B34" s="890">
        <f>'Zero Waste Log'!B40</f>
        <v>0</v>
      </c>
      <c r="C34" s="303">
        <f>'Zero Waste Log'!C40</f>
        <v>0</v>
      </c>
      <c r="D34" s="887">
        <f>'Zero Waste Log'!D40</f>
        <v>0</v>
      </c>
      <c r="E34" s="887">
        <f>IF(C34=0,0,VLOOKUP(C34,Conversions!$A$288:$B$296,2,FALSE))</f>
        <v>0</v>
      </c>
      <c r="F34" s="887">
        <f>IF(OR(C34="zip lock plastic bag - square",C34="zip lock plastic bag - snack size"),178,IF(C34=0,0,(VLOOKUP(D34,Conversions!$A$300:$B$305,2,FALSE))))</f>
        <v>0</v>
      </c>
      <c r="G34" s="886">
        <f t="shared" si="0"/>
        <v>0</v>
      </c>
      <c r="H34" s="303">
        <f>'Zero Waste Log'!E40</f>
        <v>0</v>
      </c>
      <c r="I34" s="887">
        <f>'Zero Waste Log'!F40</f>
        <v>0</v>
      </c>
      <c r="J34" s="887">
        <f>IF(H34=0,0,VLOOKUP(H34,Conversions!$A$288:$B$296,2,FALSE))</f>
        <v>0</v>
      </c>
      <c r="K34" s="887">
        <f>IF(OR(H34="zip lock plastic bag - square",H34="zip lock plastic bag - snack size"),178,IF(H34=0,0,(VLOOKUP(I34,Conversions!$A$300:$B$305,2,FALSE))))</f>
        <v>0</v>
      </c>
      <c r="L34" s="889">
        <f t="shared" si="1"/>
        <v>0</v>
      </c>
      <c r="M34" s="888">
        <f>'Zero Waste Log'!G40</f>
        <v>0</v>
      </c>
      <c r="N34" s="887">
        <f>'Zero Waste Log'!H40</f>
        <v>0</v>
      </c>
      <c r="O34" s="887">
        <f>IF(M34=0,0,VLOOKUP(M34,Conversions!$A$288:$B$296,2,FALSE))</f>
        <v>0</v>
      </c>
      <c r="P34" s="887">
        <f>IF(OR(M34="zip lock plastic bag - square",M34="zip lock plastic bag - snack size"),178,IF(M34=0,0,(VLOOKUP(N34,Conversions!$A$300:$B$305,2,FALSE))))</f>
        <v>0</v>
      </c>
      <c r="Q34" s="886">
        <f t="shared" si="2"/>
        <v>0</v>
      </c>
      <c r="R34" s="304">
        <f>'Zero Waste Log'!I40</f>
        <v>0</v>
      </c>
      <c r="S34" s="832">
        <f>'Zero Waste Log'!J40</f>
        <v>0</v>
      </c>
      <c r="T34" s="832">
        <f>IF(R34=0,0,VLOOKUP(R34,Conversions!$A$288:$B$296,2,FALSE))</f>
        <v>0</v>
      </c>
      <c r="U34" s="832">
        <f>IF(OR(R34="zip lock plastic bag - square",R34="zip lock plastic bag - snack size"),178,IF(R34=0,0,(VLOOKUP(S34,Conversions!$A$300:$B$305,2,FALSE))))</f>
        <v>0</v>
      </c>
      <c r="V34" s="832">
        <f t="shared" si="3"/>
        <v>0</v>
      </c>
      <c r="W34" s="832">
        <f t="shared" si="4"/>
        <v>0</v>
      </c>
      <c r="X34" s="895">
        <f>W34/Conversions!$B$5</f>
        <v>0</v>
      </c>
      <c r="Y34" s="895">
        <f>W34/Conversions!$B$309/(4.3*5)</f>
        <v>0</v>
      </c>
      <c r="Z34" s="895">
        <f>$X34*Conversions!$B$20</f>
        <v>0</v>
      </c>
      <c r="AA34" s="895">
        <f>($X34*Conversions!$C$20)+(X34*Conversions!$D$48)</f>
        <v>0</v>
      </c>
      <c r="AB34" s="896">
        <f>$X34*Conversions!$D$20</f>
        <v>0</v>
      </c>
      <c r="AC34" s="883">
        <f>(Conversions!$B$292+Conversions!$B$291+Conversions!$B$290+Conversions!$B$290)*Conversions!$B$304</f>
        <v>384</v>
      </c>
      <c r="AD34" s="895">
        <f>AC34/Conversions!$B$5</f>
        <v>0.846579510130294</v>
      </c>
      <c r="AE34" s="895">
        <f>AC34/Conversions!$B$309/(4.3*5)</f>
        <v>2.9767441860465116</v>
      </c>
      <c r="AF34" s="895">
        <f>$AD34*Conversions!$B$20</f>
        <v>9.665397418071231</v>
      </c>
      <c r="AG34" s="895">
        <f>($AD34*Conversions!$C$20)+(AD34*Conversions!$D$48)</f>
        <v>13.21405269749812</v>
      </c>
      <c r="AH34" s="902">
        <f>$AD34*Conversions!$D$20</f>
        <v>2.131813194747337</v>
      </c>
      <c r="AI34" s="894">
        <f t="shared" si="5"/>
        <v>0</v>
      </c>
      <c r="AJ34" s="893">
        <f t="shared" si="6"/>
        <v>0</v>
      </c>
      <c r="AK34" s="893">
        <f t="shared" si="7"/>
        <v>0</v>
      </c>
      <c r="AL34" s="893">
        <f t="shared" si="8"/>
        <v>0</v>
      </c>
      <c r="AM34" s="892">
        <f t="shared" si="9"/>
        <v>0</v>
      </c>
    </row>
    <row r="35" spans="1:39" ht="12.75">
      <c r="A35" s="891" t="str">
        <f>'Zero Waste Log'!A41</f>
        <v>Student30</v>
      </c>
      <c r="B35" s="890">
        <f>'Zero Waste Log'!B41</f>
        <v>0</v>
      </c>
      <c r="C35" s="303">
        <f>'Zero Waste Log'!C41</f>
        <v>0</v>
      </c>
      <c r="D35" s="887">
        <f>'Zero Waste Log'!D41</f>
        <v>0</v>
      </c>
      <c r="E35" s="887">
        <f>IF(C35=0,0,VLOOKUP(C35,Conversions!$A$288:$B$296,2,FALSE))</f>
        <v>0</v>
      </c>
      <c r="F35" s="887">
        <f>IF(OR(C35="zip lock plastic bag - square",C35="zip lock plastic bag - snack size"),178,IF(C35=0,0,(VLOOKUP(D35,Conversions!$A$300:$B$305,2,FALSE))))</f>
        <v>0</v>
      </c>
      <c r="G35" s="886">
        <f t="shared" si="0"/>
        <v>0</v>
      </c>
      <c r="H35" s="303">
        <f>'Zero Waste Log'!E41</f>
        <v>0</v>
      </c>
      <c r="I35" s="887">
        <f>'Zero Waste Log'!F41</f>
        <v>0</v>
      </c>
      <c r="J35" s="887">
        <f>IF(H35=0,0,VLOOKUP(H35,Conversions!$A$288:$B$296,2,FALSE))</f>
        <v>0</v>
      </c>
      <c r="K35" s="887">
        <f>IF(OR(H35="zip lock plastic bag - square",H35="zip lock plastic bag - snack size"),178,IF(H35=0,0,(VLOOKUP(I35,Conversions!$A$300:$B$305,2,FALSE))))</f>
        <v>0</v>
      </c>
      <c r="L35" s="889">
        <f t="shared" si="1"/>
        <v>0</v>
      </c>
      <c r="M35" s="888">
        <f>'Zero Waste Log'!G41</f>
        <v>0</v>
      </c>
      <c r="N35" s="887">
        <f>'Zero Waste Log'!H41</f>
        <v>0</v>
      </c>
      <c r="O35" s="887">
        <f>IF(M35=0,0,VLOOKUP(M35,Conversions!$A$288:$B$296,2,FALSE))</f>
        <v>0</v>
      </c>
      <c r="P35" s="887">
        <f>IF(OR(M35="zip lock plastic bag - square",M35="zip lock plastic bag - snack size"),178,IF(M35=0,0,(VLOOKUP(N35,Conversions!$A$300:$B$305,2,FALSE))))</f>
        <v>0</v>
      </c>
      <c r="Q35" s="886">
        <f t="shared" si="2"/>
        <v>0</v>
      </c>
      <c r="R35" s="304">
        <f>'Zero Waste Log'!I41</f>
        <v>0</v>
      </c>
      <c r="S35" s="832">
        <f>'Zero Waste Log'!J41</f>
        <v>0</v>
      </c>
      <c r="T35" s="832">
        <f>IF(R35=0,0,VLOOKUP(R35,Conversions!$A$288:$B$296,2,FALSE))</f>
        <v>0</v>
      </c>
      <c r="U35" s="832">
        <f>IF(OR(R35="zip lock plastic bag - square",R35="zip lock plastic bag - snack size"),178,IF(R35=0,0,(VLOOKUP(S35,Conversions!$A$300:$B$305,2,FALSE))))</f>
        <v>0</v>
      </c>
      <c r="V35" s="832">
        <f t="shared" si="3"/>
        <v>0</v>
      </c>
      <c r="W35" s="832">
        <f t="shared" si="4"/>
        <v>0</v>
      </c>
      <c r="X35" s="895">
        <f>W35/Conversions!$B$5</f>
        <v>0</v>
      </c>
      <c r="Y35" s="895">
        <f>W35/Conversions!$B$309/(4.3*5)</f>
        <v>0</v>
      </c>
      <c r="Z35" s="895">
        <f>$X35*Conversions!$B$20</f>
        <v>0</v>
      </c>
      <c r="AA35" s="895">
        <f>($X35*Conversions!$C$20)+(X35*Conversions!$D$48)</f>
        <v>0</v>
      </c>
      <c r="AB35" s="896">
        <f>$X35*Conversions!$D$20</f>
        <v>0</v>
      </c>
      <c r="AC35" s="883">
        <f>(Conversions!$B$292+Conversions!$B$291+Conversions!$B$290+Conversions!$B$290)*Conversions!$B$304</f>
        <v>384</v>
      </c>
      <c r="AD35" s="895">
        <f>AC35/Conversions!$B$5</f>
        <v>0.846579510130294</v>
      </c>
      <c r="AE35" s="895">
        <f>AC35/Conversions!$B$309/(4.3*5)</f>
        <v>2.9767441860465116</v>
      </c>
      <c r="AF35" s="895">
        <f>$AD35*Conversions!$B$20</f>
        <v>9.665397418071231</v>
      </c>
      <c r="AG35" s="895">
        <f>($AD35*Conversions!$C$20)+(AD35*Conversions!$D$48)</f>
        <v>13.21405269749812</v>
      </c>
      <c r="AH35" s="902">
        <f>$AD35*Conversions!$D$20</f>
        <v>2.131813194747337</v>
      </c>
      <c r="AI35" s="894">
        <f t="shared" si="5"/>
        <v>0</v>
      </c>
      <c r="AJ35" s="893">
        <f t="shared" si="6"/>
        <v>0</v>
      </c>
      <c r="AK35" s="893">
        <f t="shared" si="7"/>
        <v>0</v>
      </c>
      <c r="AL35" s="893">
        <f t="shared" si="8"/>
        <v>0</v>
      </c>
      <c r="AM35" s="892">
        <f t="shared" si="9"/>
        <v>0</v>
      </c>
    </row>
    <row r="36" spans="1:39" ht="12.75">
      <c r="A36" s="891" t="str">
        <f>'Zero Waste Log'!A42</f>
        <v>Student31</v>
      </c>
      <c r="B36" s="890">
        <f>'Zero Waste Log'!B42</f>
        <v>0</v>
      </c>
      <c r="C36" s="303">
        <f>'Zero Waste Log'!C42</f>
        <v>0</v>
      </c>
      <c r="D36" s="887">
        <f>'Zero Waste Log'!D42</f>
        <v>0</v>
      </c>
      <c r="E36" s="887">
        <f>IF(C36=0,0,VLOOKUP(C36,Conversions!$A$288:$B$296,2,FALSE))</f>
        <v>0</v>
      </c>
      <c r="F36" s="887">
        <f>IF(OR(C36="zip lock plastic bag - square",C36="zip lock plastic bag - snack size"),178,IF(C36=0,0,(VLOOKUP(D36,Conversions!$A$300:$B$305,2,FALSE))))</f>
        <v>0</v>
      </c>
      <c r="G36" s="886">
        <f t="shared" si="0"/>
        <v>0</v>
      </c>
      <c r="H36" s="303">
        <f>'Zero Waste Log'!E42</f>
        <v>0</v>
      </c>
      <c r="I36" s="887">
        <f>'Zero Waste Log'!F42</f>
        <v>0</v>
      </c>
      <c r="J36" s="887">
        <f>IF(H36=0,0,VLOOKUP(H36,Conversions!$A$288:$B$296,2,FALSE))</f>
        <v>0</v>
      </c>
      <c r="K36" s="887">
        <f>IF(OR(H36="zip lock plastic bag - square",H36="zip lock plastic bag - snack size"),178,IF(H36=0,0,(VLOOKUP(I36,Conversions!$A$300:$B$305,2,FALSE))))</f>
        <v>0</v>
      </c>
      <c r="L36" s="889">
        <f t="shared" si="1"/>
        <v>0</v>
      </c>
      <c r="M36" s="888">
        <f>'Zero Waste Log'!G42</f>
        <v>0</v>
      </c>
      <c r="N36" s="887">
        <f>'Zero Waste Log'!H42</f>
        <v>0</v>
      </c>
      <c r="O36" s="887">
        <f>IF(M36=0,0,VLOOKUP(M36,Conversions!$A$288:$B$296,2,FALSE))</f>
        <v>0</v>
      </c>
      <c r="P36" s="887">
        <f>IF(OR(M36="zip lock plastic bag - square",M36="zip lock plastic bag - snack size"),178,IF(M36=0,0,(VLOOKUP(N36,Conversions!$A$300:$B$305,2,FALSE))))</f>
        <v>0</v>
      </c>
      <c r="Q36" s="886">
        <f t="shared" si="2"/>
        <v>0</v>
      </c>
      <c r="R36" s="304">
        <f>'Zero Waste Log'!I42</f>
        <v>0</v>
      </c>
      <c r="S36" s="832">
        <f>'Zero Waste Log'!J42</f>
        <v>0</v>
      </c>
      <c r="T36" s="832">
        <f>IF(R36=0,0,VLOOKUP(R36,Conversions!$A$288:$B$296,2,FALSE))</f>
        <v>0</v>
      </c>
      <c r="U36" s="832">
        <f>IF(OR(R36="zip lock plastic bag - square",R36="zip lock plastic bag - snack size"),178,IF(R36=0,0,(VLOOKUP(S36,Conversions!$A$300:$B$305,2,FALSE))))</f>
        <v>0</v>
      </c>
      <c r="V36" s="832">
        <f t="shared" si="3"/>
        <v>0</v>
      </c>
      <c r="W36" s="832">
        <f t="shared" si="4"/>
        <v>0</v>
      </c>
      <c r="X36" s="895">
        <f>W36/Conversions!$B$5</f>
        <v>0</v>
      </c>
      <c r="Y36" s="895">
        <f>W36/Conversions!$B$309/(4.3*5)</f>
        <v>0</v>
      </c>
      <c r="Z36" s="895">
        <f>$X36*Conversions!$B$20</f>
        <v>0</v>
      </c>
      <c r="AA36" s="895">
        <f>($X36*Conversions!$C$20)+(X36*Conversions!$D$48)</f>
        <v>0</v>
      </c>
      <c r="AB36" s="896">
        <f>$X36*Conversions!$D$20</f>
        <v>0</v>
      </c>
      <c r="AC36" s="883">
        <f>(Conversions!$B$292+Conversions!$B$291+Conversions!$B$290+Conversions!$B$290)*Conversions!$B$304</f>
        <v>384</v>
      </c>
      <c r="AD36" s="895">
        <f>AC36/Conversions!$B$5</f>
        <v>0.846579510130294</v>
      </c>
      <c r="AE36" s="895">
        <f>AC36/Conversions!$B$309/(4.3*5)</f>
        <v>2.9767441860465116</v>
      </c>
      <c r="AF36" s="895">
        <f>$AD36*Conversions!$B$20</f>
        <v>9.665397418071231</v>
      </c>
      <c r="AG36" s="895">
        <f>($AD36*Conversions!$C$20)+(AD36*Conversions!$D$48)</f>
        <v>13.21405269749812</v>
      </c>
      <c r="AH36" s="902">
        <f>$AD36*Conversions!$D$20</f>
        <v>2.131813194747337</v>
      </c>
      <c r="AI36" s="894">
        <f t="shared" si="5"/>
        <v>0</v>
      </c>
      <c r="AJ36" s="893">
        <f t="shared" si="6"/>
        <v>0</v>
      </c>
      <c r="AK36" s="893">
        <f t="shared" si="7"/>
        <v>0</v>
      </c>
      <c r="AL36" s="893">
        <f t="shared" si="8"/>
        <v>0</v>
      </c>
      <c r="AM36" s="892">
        <f t="shared" si="9"/>
        <v>0</v>
      </c>
    </row>
    <row r="37" spans="1:39" ht="12.75">
      <c r="A37" s="891" t="str">
        <f>'Zero Waste Log'!A43</f>
        <v>Student32</v>
      </c>
      <c r="B37" s="890">
        <f>'Zero Waste Log'!B43</f>
        <v>0</v>
      </c>
      <c r="C37" s="303">
        <f>'Zero Waste Log'!C43</f>
        <v>0</v>
      </c>
      <c r="D37" s="887">
        <f>'Zero Waste Log'!D43</f>
        <v>0</v>
      </c>
      <c r="E37" s="887">
        <f>IF(C37=0,0,VLOOKUP(C37,Conversions!$A$288:$B$296,2,FALSE))</f>
        <v>0</v>
      </c>
      <c r="F37" s="887">
        <f>IF(OR(C37="zip lock plastic bag - square",C37="zip lock plastic bag - snack size"),178,IF(C37=0,0,(VLOOKUP(D37,Conversions!$A$300:$B$305,2,FALSE))))</f>
        <v>0</v>
      </c>
      <c r="G37" s="886">
        <f t="shared" si="0"/>
        <v>0</v>
      </c>
      <c r="H37" s="303">
        <f>'Zero Waste Log'!E43</f>
        <v>0</v>
      </c>
      <c r="I37" s="887">
        <f>'Zero Waste Log'!F43</f>
        <v>0</v>
      </c>
      <c r="J37" s="887">
        <f>IF(H37=0,0,VLOOKUP(H37,Conversions!$A$288:$B$296,2,FALSE))</f>
        <v>0</v>
      </c>
      <c r="K37" s="887">
        <f>IF(OR(H37="zip lock plastic bag - square",H37="zip lock plastic bag - snack size"),178,IF(H37=0,0,(VLOOKUP(I37,Conversions!$A$300:$B$305,2,FALSE))))</f>
        <v>0</v>
      </c>
      <c r="L37" s="889">
        <f t="shared" si="1"/>
        <v>0</v>
      </c>
      <c r="M37" s="888">
        <f>'Zero Waste Log'!G43</f>
        <v>0</v>
      </c>
      <c r="N37" s="887">
        <f>'Zero Waste Log'!H43</f>
        <v>0</v>
      </c>
      <c r="O37" s="887">
        <f>IF(M37=0,0,VLOOKUP(M37,Conversions!$A$288:$B$296,2,FALSE))</f>
        <v>0</v>
      </c>
      <c r="P37" s="887">
        <f>IF(OR(M37="zip lock plastic bag - square",M37="zip lock plastic bag - snack size"),178,IF(M37=0,0,(VLOOKUP(N37,Conversions!$A$300:$B$305,2,FALSE))))</f>
        <v>0</v>
      </c>
      <c r="Q37" s="886">
        <f t="shared" si="2"/>
        <v>0</v>
      </c>
      <c r="R37" s="304">
        <f>'Zero Waste Log'!I43</f>
        <v>0</v>
      </c>
      <c r="S37" s="832">
        <f>'Zero Waste Log'!J43</f>
        <v>0</v>
      </c>
      <c r="T37" s="832">
        <f>IF(R37=0,0,VLOOKUP(R37,Conversions!$A$288:$B$296,2,FALSE))</f>
        <v>0</v>
      </c>
      <c r="U37" s="832">
        <f>IF(OR(R37="zip lock plastic bag - square",R37="zip lock plastic bag - snack size"),178,IF(R37=0,0,(VLOOKUP(S37,Conversions!$A$300:$B$305,2,FALSE))))</f>
        <v>0</v>
      </c>
      <c r="V37" s="832">
        <f t="shared" si="3"/>
        <v>0</v>
      </c>
      <c r="W37" s="832">
        <f t="shared" si="4"/>
        <v>0</v>
      </c>
      <c r="X37" s="895">
        <f>W37/Conversions!$B$5</f>
        <v>0</v>
      </c>
      <c r="Y37" s="895">
        <f>W37/Conversions!$B$309/(4.3*5)</f>
        <v>0</v>
      </c>
      <c r="Z37" s="895">
        <f>$X37*Conversions!$B$20</f>
        <v>0</v>
      </c>
      <c r="AA37" s="895">
        <f>($X37*Conversions!$C$20)+(X37*Conversions!$D$48)</f>
        <v>0</v>
      </c>
      <c r="AB37" s="896">
        <f>$X37*Conversions!$D$20</f>
        <v>0</v>
      </c>
      <c r="AC37" s="883">
        <f>(Conversions!$B$292+Conversions!$B$291+Conversions!$B$290+Conversions!$B$290)*Conversions!$B$304</f>
        <v>384</v>
      </c>
      <c r="AD37" s="895">
        <f>AC37/Conversions!$B$5</f>
        <v>0.846579510130294</v>
      </c>
      <c r="AE37" s="895">
        <f>AC37/Conversions!$B$309/(4.3*5)</f>
        <v>2.9767441860465116</v>
      </c>
      <c r="AF37" s="895">
        <f>$AD37*Conversions!$B$20</f>
        <v>9.665397418071231</v>
      </c>
      <c r="AG37" s="895">
        <f>($AD37*Conversions!$C$20)+(AD37*Conversions!$D$48)</f>
        <v>13.21405269749812</v>
      </c>
      <c r="AH37" s="902">
        <f>$AD37*Conversions!$D$20</f>
        <v>2.131813194747337</v>
      </c>
      <c r="AI37" s="894">
        <f t="shared" si="5"/>
        <v>0</v>
      </c>
      <c r="AJ37" s="893">
        <f t="shared" si="6"/>
        <v>0</v>
      </c>
      <c r="AK37" s="893">
        <f t="shared" si="7"/>
        <v>0</v>
      </c>
      <c r="AL37" s="893">
        <f t="shared" si="8"/>
        <v>0</v>
      </c>
      <c r="AM37" s="892">
        <f t="shared" si="9"/>
        <v>0</v>
      </c>
    </row>
    <row r="38" spans="1:39" ht="12.75">
      <c r="A38" s="891" t="str">
        <f>'Zero Waste Log'!A44</f>
        <v>Student33</v>
      </c>
      <c r="B38" s="890">
        <f>'Zero Waste Log'!B44</f>
        <v>0</v>
      </c>
      <c r="C38" s="303">
        <f>'Zero Waste Log'!C44</f>
        <v>0</v>
      </c>
      <c r="D38" s="887">
        <f>'Zero Waste Log'!D44</f>
        <v>0</v>
      </c>
      <c r="E38" s="887">
        <f>IF(C38=0,0,VLOOKUP(C38,Conversions!$A$288:$B$296,2,FALSE))</f>
        <v>0</v>
      </c>
      <c r="F38" s="887">
        <f>IF(OR(C38="zip lock plastic bag - square",C38="zip lock plastic bag - snack size"),178,IF(C38=0,0,(VLOOKUP(D38,Conversions!$A$300:$B$305,2,FALSE))))</f>
        <v>0</v>
      </c>
      <c r="G38" s="886">
        <f t="shared" si="0"/>
        <v>0</v>
      </c>
      <c r="H38" s="303">
        <f>'Zero Waste Log'!E44</f>
        <v>0</v>
      </c>
      <c r="I38" s="887">
        <f>'Zero Waste Log'!F44</f>
        <v>0</v>
      </c>
      <c r="J38" s="887">
        <f>IF(H38=0,0,VLOOKUP(H38,Conversions!$A$288:$B$296,2,FALSE))</f>
        <v>0</v>
      </c>
      <c r="K38" s="887">
        <f>IF(OR(H38="zip lock plastic bag - square",H38="zip lock plastic bag - snack size"),178,IF(H38=0,0,(VLOOKUP(I38,Conversions!$A$300:$B$305,2,FALSE))))</f>
        <v>0</v>
      </c>
      <c r="L38" s="889">
        <f t="shared" si="1"/>
        <v>0</v>
      </c>
      <c r="M38" s="888">
        <f>'Zero Waste Log'!G44</f>
        <v>0</v>
      </c>
      <c r="N38" s="887">
        <f>'Zero Waste Log'!H44</f>
        <v>0</v>
      </c>
      <c r="O38" s="887">
        <f>IF(M38=0,0,VLOOKUP(M38,Conversions!$A$288:$B$296,2,FALSE))</f>
        <v>0</v>
      </c>
      <c r="P38" s="887">
        <f>IF(OR(M38="zip lock plastic bag - square",M38="zip lock plastic bag - snack size"),178,IF(M38=0,0,(VLOOKUP(N38,Conversions!$A$300:$B$305,2,FALSE))))</f>
        <v>0</v>
      </c>
      <c r="Q38" s="886">
        <f t="shared" si="2"/>
        <v>0</v>
      </c>
      <c r="R38" s="304">
        <f>'Zero Waste Log'!I44</f>
        <v>0</v>
      </c>
      <c r="S38" s="832">
        <f>'Zero Waste Log'!J44</f>
        <v>0</v>
      </c>
      <c r="T38" s="832">
        <f>IF(R38=0,0,VLOOKUP(R38,Conversions!$A$288:$B$296,2,FALSE))</f>
        <v>0</v>
      </c>
      <c r="U38" s="832">
        <f>IF(OR(R38="zip lock plastic bag - square",R38="zip lock plastic bag - snack size"),178,IF(R38=0,0,(VLOOKUP(S38,Conversions!$A$300:$B$305,2,FALSE))))</f>
        <v>0</v>
      </c>
      <c r="V38" s="832">
        <f t="shared" si="3"/>
        <v>0</v>
      </c>
      <c r="W38" s="832">
        <f t="shared" si="4"/>
        <v>0</v>
      </c>
      <c r="X38" s="895">
        <f>W38/Conversions!$B$5</f>
        <v>0</v>
      </c>
      <c r="Y38" s="895">
        <f>W38/Conversions!$B$309/(4.3*5)</f>
        <v>0</v>
      </c>
      <c r="Z38" s="895">
        <f>$X38*Conversions!$B$20</f>
        <v>0</v>
      </c>
      <c r="AA38" s="895">
        <f>($X38*Conversions!$C$20)+(X38*Conversions!$D$48)</f>
        <v>0</v>
      </c>
      <c r="AB38" s="896">
        <f>$X38*Conversions!$D$20</f>
        <v>0</v>
      </c>
      <c r="AC38" s="883">
        <f>(Conversions!$B$292+Conversions!$B$291+Conversions!$B$290+Conversions!$B$290)*Conversions!$B$304</f>
        <v>384</v>
      </c>
      <c r="AD38" s="895">
        <f>AC38/Conversions!$B$5</f>
        <v>0.846579510130294</v>
      </c>
      <c r="AE38" s="895">
        <f>AC38/Conversions!$B$309/(4.3*5)</f>
        <v>2.9767441860465116</v>
      </c>
      <c r="AF38" s="895">
        <f>$AD38*Conversions!$B$20</f>
        <v>9.665397418071231</v>
      </c>
      <c r="AG38" s="895">
        <f>($AD38*Conversions!$C$20)+(AD38*Conversions!$D$48)</f>
        <v>13.21405269749812</v>
      </c>
      <c r="AH38" s="902">
        <f>$AD38*Conversions!$D$20</f>
        <v>2.131813194747337</v>
      </c>
      <c r="AI38" s="894">
        <f t="shared" si="5"/>
        <v>0</v>
      </c>
      <c r="AJ38" s="893">
        <f t="shared" si="6"/>
        <v>0</v>
      </c>
      <c r="AK38" s="893">
        <f t="shared" si="7"/>
        <v>0</v>
      </c>
      <c r="AL38" s="893">
        <f t="shared" si="8"/>
        <v>0</v>
      </c>
      <c r="AM38" s="892">
        <f t="shared" si="9"/>
        <v>0</v>
      </c>
    </row>
    <row r="39" spans="1:39" ht="12.75">
      <c r="A39" s="891" t="str">
        <f>'Zero Waste Log'!A45</f>
        <v>Student34</v>
      </c>
      <c r="B39" s="890">
        <f>'Zero Waste Log'!B45</f>
        <v>0</v>
      </c>
      <c r="C39" s="303">
        <f>'Zero Waste Log'!C45</f>
        <v>0</v>
      </c>
      <c r="D39" s="887">
        <f>'Zero Waste Log'!D45</f>
        <v>0</v>
      </c>
      <c r="E39" s="887">
        <f>IF(C39=0,0,VLOOKUP(C39,Conversions!$A$288:$B$296,2,FALSE))</f>
        <v>0</v>
      </c>
      <c r="F39" s="887">
        <f>IF(OR(C39="zip lock plastic bag - square",C39="zip lock plastic bag - snack size"),178,IF(C39=0,0,(VLOOKUP(D39,Conversions!$A$300:$B$305,2,FALSE))))</f>
        <v>0</v>
      </c>
      <c r="G39" s="886">
        <f t="shared" si="0"/>
        <v>0</v>
      </c>
      <c r="H39" s="303">
        <f>'Zero Waste Log'!E45</f>
        <v>0</v>
      </c>
      <c r="I39" s="887">
        <f>'Zero Waste Log'!F45</f>
        <v>0</v>
      </c>
      <c r="J39" s="887">
        <f>IF(H39=0,0,VLOOKUP(H39,Conversions!$A$288:$B$296,2,FALSE))</f>
        <v>0</v>
      </c>
      <c r="K39" s="887">
        <f>IF(OR(H39="zip lock plastic bag - square",H39="zip lock plastic bag - snack size"),178,IF(H39=0,0,(VLOOKUP(I39,Conversions!$A$300:$B$305,2,FALSE))))</f>
        <v>0</v>
      </c>
      <c r="L39" s="889">
        <f t="shared" si="1"/>
        <v>0</v>
      </c>
      <c r="M39" s="888">
        <f>'Zero Waste Log'!G45</f>
        <v>0</v>
      </c>
      <c r="N39" s="887">
        <f>'Zero Waste Log'!H45</f>
        <v>0</v>
      </c>
      <c r="O39" s="887">
        <f>IF(M39=0,0,VLOOKUP(M39,Conversions!$A$288:$B$296,2,FALSE))</f>
        <v>0</v>
      </c>
      <c r="P39" s="887">
        <f>IF(OR(M39="zip lock plastic bag - square",M39="zip lock plastic bag - snack size"),178,IF(M39=0,0,(VLOOKUP(N39,Conversions!$A$300:$B$305,2,FALSE))))</f>
        <v>0</v>
      </c>
      <c r="Q39" s="886">
        <f t="shared" si="2"/>
        <v>0</v>
      </c>
      <c r="R39" s="304">
        <f>'Zero Waste Log'!I45</f>
        <v>0</v>
      </c>
      <c r="S39" s="832">
        <f>'Zero Waste Log'!J45</f>
        <v>0</v>
      </c>
      <c r="T39" s="832">
        <f>IF(R39=0,0,VLOOKUP(R39,Conversions!$A$288:$B$296,2,FALSE))</f>
        <v>0</v>
      </c>
      <c r="U39" s="832">
        <f>IF(OR(R39="zip lock plastic bag - square",R39="zip lock plastic bag - snack size"),178,IF(R39=0,0,(VLOOKUP(S39,Conversions!$A$300:$B$305,2,FALSE))))</f>
        <v>0</v>
      </c>
      <c r="V39" s="832">
        <f t="shared" si="3"/>
        <v>0</v>
      </c>
      <c r="W39" s="832">
        <f t="shared" si="4"/>
        <v>0</v>
      </c>
      <c r="X39" s="895">
        <f>W39/Conversions!$B$5</f>
        <v>0</v>
      </c>
      <c r="Y39" s="895">
        <f>W39/Conversions!$B$309/(4.3*5)</f>
        <v>0</v>
      </c>
      <c r="Z39" s="895">
        <f>$X39*Conversions!$B$20</f>
        <v>0</v>
      </c>
      <c r="AA39" s="895">
        <f>($X39*Conversions!$C$20)+(X39*Conversions!$D$48)</f>
        <v>0</v>
      </c>
      <c r="AB39" s="896">
        <f>$X39*Conversions!$D$20</f>
        <v>0</v>
      </c>
      <c r="AC39" s="883">
        <f>(Conversions!$B$292+Conversions!$B$291+Conversions!$B$290+Conversions!$B$290)*Conversions!$B$304</f>
        <v>384</v>
      </c>
      <c r="AD39" s="895">
        <f>AC39/Conversions!$B$5</f>
        <v>0.846579510130294</v>
      </c>
      <c r="AE39" s="895">
        <f>AC39/Conversions!$B$309/(4.3*5)</f>
        <v>2.9767441860465116</v>
      </c>
      <c r="AF39" s="895">
        <f>$AD39*Conversions!$B$20</f>
        <v>9.665397418071231</v>
      </c>
      <c r="AG39" s="895">
        <f>($AD39*Conversions!$C$20)+(AD39*Conversions!$D$48)</f>
        <v>13.21405269749812</v>
      </c>
      <c r="AH39" s="902">
        <f>$AD39*Conversions!$D$20</f>
        <v>2.131813194747337</v>
      </c>
      <c r="AI39" s="894">
        <f t="shared" si="5"/>
        <v>0</v>
      </c>
      <c r="AJ39" s="893">
        <f t="shared" si="6"/>
        <v>0</v>
      </c>
      <c r="AK39" s="893">
        <f t="shared" si="7"/>
        <v>0</v>
      </c>
      <c r="AL39" s="893">
        <f t="shared" si="8"/>
        <v>0</v>
      </c>
      <c r="AM39" s="892">
        <f t="shared" si="9"/>
        <v>0</v>
      </c>
    </row>
    <row r="40" spans="1:39" ht="12.75">
      <c r="A40" s="891" t="str">
        <f>'Zero Waste Log'!A46</f>
        <v>Student35</v>
      </c>
      <c r="B40" s="890">
        <f>'Zero Waste Log'!B46</f>
        <v>0</v>
      </c>
      <c r="C40" s="303">
        <f>'Zero Waste Log'!C46</f>
        <v>0</v>
      </c>
      <c r="D40" s="887">
        <f>'Zero Waste Log'!D46</f>
        <v>0</v>
      </c>
      <c r="E40" s="887">
        <f>IF(C40=0,0,VLOOKUP(C40,Conversions!$A$288:$B$296,2,FALSE))</f>
        <v>0</v>
      </c>
      <c r="F40" s="887">
        <f>IF(OR(C40="zip lock plastic bag - square",C40="zip lock plastic bag - snack size"),178,IF(C40=0,0,(VLOOKUP(D40,Conversions!$A$300:$B$305,2,FALSE))))</f>
        <v>0</v>
      </c>
      <c r="G40" s="886">
        <f t="shared" si="0"/>
        <v>0</v>
      </c>
      <c r="H40" s="303">
        <f>'Zero Waste Log'!E46</f>
        <v>0</v>
      </c>
      <c r="I40" s="887">
        <f>'Zero Waste Log'!F46</f>
        <v>0</v>
      </c>
      <c r="J40" s="887">
        <f>IF(H40=0,0,VLOOKUP(H40,Conversions!$A$288:$B$296,2,FALSE))</f>
        <v>0</v>
      </c>
      <c r="K40" s="887">
        <f>IF(OR(H40="zip lock plastic bag - square",H40="zip lock plastic bag - snack size"),178,IF(H40=0,0,(VLOOKUP(I40,Conversions!$A$300:$B$305,2,FALSE))))</f>
        <v>0</v>
      </c>
      <c r="L40" s="889">
        <f t="shared" si="1"/>
        <v>0</v>
      </c>
      <c r="M40" s="888">
        <f>'Zero Waste Log'!G46</f>
        <v>0</v>
      </c>
      <c r="N40" s="887">
        <f>'Zero Waste Log'!H46</f>
        <v>0</v>
      </c>
      <c r="O40" s="887">
        <f>IF(M40=0,0,VLOOKUP(M40,Conversions!$A$288:$B$296,2,FALSE))</f>
        <v>0</v>
      </c>
      <c r="P40" s="887">
        <f>IF(OR(M40="zip lock plastic bag - square",M40="zip lock plastic bag - snack size"),178,IF(M40=0,0,(VLOOKUP(N40,Conversions!$A$300:$B$305,2,FALSE))))</f>
        <v>0</v>
      </c>
      <c r="Q40" s="886">
        <f t="shared" si="2"/>
        <v>0</v>
      </c>
      <c r="R40" s="304">
        <f>'Zero Waste Log'!I46</f>
        <v>0</v>
      </c>
      <c r="S40" s="832">
        <f>'Zero Waste Log'!J46</f>
        <v>0</v>
      </c>
      <c r="T40" s="832">
        <f>IF(R40=0,0,VLOOKUP(R40,Conversions!$A$288:$B$296,2,FALSE))</f>
        <v>0</v>
      </c>
      <c r="U40" s="832">
        <f>IF(OR(R40="zip lock plastic bag - square",R40="zip lock plastic bag - snack size"),178,IF(R40=0,0,(VLOOKUP(S40,Conversions!$A$300:$B$305,2,FALSE))))</f>
        <v>0</v>
      </c>
      <c r="V40" s="832">
        <f t="shared" si="3"/>
        <v>0</v>
      </c>
      <c r="W40" s="832">
        <f t="shared" si="4"/>
        <v>0</v>
      </c>
      <c r="X40" s="895">
        <f>W40/Conversions!$B$5</f>
        <v>0</v>
      </c>
      <c r="Y40" s="895">
        <f>W40/Conversions!$B$309/(4.3*5)</f>
        <v>0</v>
      </c>
      <c r="Z40" s="895">
        <f>$X40*Conversions!$B$20</f>
        <v>0</v>
      </c>
      <c r="AA40" s="895">
        <f>($X40*Conversions!$C$20)+(X40*Conversions!$D$48)</f>
        <v>0</v>
      </c>
      <c r="AB40" s="896">
        <f>$X40*Conversions!$D$20</f>
        <v>0</v>
      </c>
      <c r="AC40" s="883">
        <f>(Conversions!$B$292+Conversions!$B$291+Conversions!$B$290+Conversions!$B$290)*Conversions!$B$304</f>
        <v>384</v>
      </c>
      <c r="AD40" s="895">
        <f>AC40/Conversions!$B$5</f>
        <v>0.846579510130294</v>
      </c>
      <c r="AE40" s="895">
        <f>AC40/Conversions!$B$309/(4.3*5)</f>
        <v>2.9767441860465116</v>
      </c>
      <c r="AF40" s="895">
        <f>$AD40*Conversions!$B$20</f>
        <v>9.665397418071231</v>
      </c>
      <c r="AG40" s="895">
        <f>($AD40*Conversions!$C$20)+(AD40*Conversions!$D$48)</f>
        <v>13.21405269749812</v>
      </c>
      <c r="AH40" s="902">
        <f>$AD40*Conversions!$D$20</f>
        <v>2.131813194747337</v>
      </c>
      <c r="AI40" s="894">
        <f t="shared" si="5"/>
        <v>0</v>
      </c>
      <c r="AJ40" s="893">
        <f t="shared" si="6"/>
        <v>0</v>
      </c>
      <c r="AK40" s="893">
        <f t="shared" si="7"/>
        <v>0</v>
      </c>
      <c r="AL40" s="893">
        <f t="shared" si="8"/>
        <v>0</v>
      </c>
      <c r="AM40" s="892">
        <f t="shared" si="9"/>
        <v>0</v>
      </c>
    </row>
    <row r="41" spans="1:39" ht="12.75">
      <c r="A41" s="891" t="str">
        <f>'Zero Waste Log'!A47</f>
        <v>Student36</v>
      </c>
      <c r="B41" s="890">
        <f>'Zero Waste Log'!B47</f>
        <v>0</v>
      </c>
      <c r="C41" s="303">
        <f>'Zero Waste Log'!C47</f>
        <v>0</v>
      </c>
      <c r="D41" s="887">
        <f>'Zero Waste Log'!D47</f>
        <v>0</v>
      </c>
      <c r="E41" s="887">
        <f>IF(C41=0,0,VLOOKUP(C41,Conversions!$A$288:$B$296,2,FALSE))</f>
        <v>0</v>
      </c>
      <c r="F41" s="887">
        <f>IF(OR(C41="zip lock plastic bag - square",C41="zip lock plastic bag - snack size"),178,IF(C41=0,0,(VLOOKUP(D41,Conversions!$A$300:$B$305,2,FALSE))))</f>
        <v>0</v>
      </c>
      <c r="G41" s="886">
        <f t="shared" si="0"/>
        <v>0</v>
      </c>
      <c r="H41" s="303">
        <f>'Zero Waste Log'!E47</f>
        <v>0</v>
      </c>
      <c r="I41" s="887">
        <f>'Zero Waste Log'!F47</f>
        <v>0</v>
      </c>
      <c r="J41" s="887">
        <f>IF(H41=0,0,VLOOKUP(H41,Conversions!$A$288:$B$296,2,FALSE))</f>
        <v>0</v>
      </c>
      <c r="K41" s="887">
        <f>IF(OR(H41="zip lock plastic bag - square",H41="zip lock plastic bag - snack size"),178,IF(H41=0,0,(VLOOKUP(I41,Conversions!$A$300:$B$305,2,FALSE))))</f>
        <v>0</v>
      </c>
      <c r="L41" s="889">
        <f t="shared" si="1"/>
        <v>0</v>
      </c>
      <c r="M41" s="888">
        <f>'Zero Waste Log'!G47</f>
        <v>0</v>
      </c>
      <c r="N41" s="887">
        <f>'Zero Waste Log'!H47</f>
        <v>0</v>
      </c>
      <c r="O41" s="887">
        <f>IF(M41=0,0,VLOOKUP(M41,Conversions!$A$288:$B$296,2,FALSE))</f>
        <v>0</v>
      </c>
      <c r="P41" s="887">
        <f>IF(OR(M41="zip lock plastic bag - square",M41="zip lock plastic bag - snack size"),178,IF(M41=0,0,(VLOOKUP(N41,Conversions!$A$300:$B$305,2,FALSE))))</f>
        <v>0</v>
      </c>
      <c r="Q41" s="886">
        <f t="shared" si="2"/>
        <v>0</v>
      </c>
      <c r="R41" s="304">
        <f>'Zero Waste Log'!I47</f>
        <v>0</v>
      </c>
      <c r="S41" s="832">
        <f>'Zero Waste Log'!J47</f>
        <v>0</v>
      </c>
      <c r="T41" s="832">
        <f>IF(R41=0,0,VLOOKUP(R41,Conversions!$A$288:$B$296,2,FALSE))</f>
        <v>0</v>
      </c>
      <c r="U41" s="832">
        <f>IF(OR(R41="zip lock plastic bag - square",R41="zip lock plastic bag - snack size"),178,IF(R41=0,0,(VLOOKUP(S41,Conversions!$A$300:$B$305,2,FALSE))))</f>
        <v>0</v>
      </c>
      <c r="V41" s="885">
        <f t="shared" si="3"/>
        <v>0</v>
      </c>
      <c r="W41" s="885">
        <f t="shared" si="4"/>
        <v>0</v>
      </c>
      <c r="X41" s="882">
        <f>W41/Conversions!$B$5</f>
        <v>0</v>
      </c>
      <c r="Y41" s="882">
        <f>W41/Conversions!$B$309/(4.3*5)</f>
        <v>0</v>
      </c>
      <c r="Z41" s="882">
        <f>$X41*Conversions!$B$20</f>
        <v>0</v>
      </c>
      <c r="AA41" s="882">
        <f>($X41*Conversions!$C$20)+(X41*Conversions!$D$48)</f>
        <v>0</v>
      </c>
      <c r="AB41" s="884">
        <f>$X41*Conversions!$D$20</f>
        <v>0</v>
      </c>
      <c r="AC41" s="883">
        <f>(Conversions!$B$292+Conversions!$B$291+Conversions!$B$290+Conversions!$B$290)*Conversions!$B$304</f>
        <v>384</v>
      </c>
      <c r="AD41" s="881">
        <f>AC41/Conversions!$B$5</f>
        <v>0.846579510130294</v>
      </c>
      <c r="AE41" s="881">
        <f>AC41/Conversions!$B$309/(4.3*5)</f>
        <v>2.9767441860465116</v>
      </c>
      <c r="AF41" s="882">
        <f>$AD41*Conversions!$B$20</f>
        <v>9.665397418071231</v>
      </c>
      <c r="AG41" s="881">
        <f>($AD41*Conversions!$C$20)+(AD41*Conversions!$D$48)</f>
        <v>13.21405269749812</v>
      </c>
      <c r="AH41" s="902">
        <f>$AD41*Conversions!$D$20</f>
        <v>2.131813194747337</v>
      </c>
      <c r="AI41" s="880">
        <f t="shared" si="5"/>
        <v>0</v>
      </c>
      <c r="AJ41" s="879">
        <f t="shared" si="6"/>
        <v>0</v>
      </c>
      <c r="AK41" s="879">
        <f t="shared" si="7"/>
        <v>0</v>
      </c>
      <c r="AL41" s="879">
        <f t="shared" si="8"/>
        <v>0</v>
      </c>
      <c r="AM41" s="878">
        <f t="shared" si="9"/>
        <v>0</v>
      </c>
    </row>
    <row r="42" spans="1:39" s="311" customFormat="1" ht="30.75" customHeight="1">
      <c r="A42" s="323"/>
      <c r="B42" s="876"/>
      <c r="C42" s="323"/>
      <c r="D42" s="323"/>
      <c r="E42" s="323"/>
      <c r="F42" s="323"/>
      <c r="G42" s="323"/>
      <c r="H42" s="323"/>
      <c r="I42" s="323"/>
      <c r="J42" s="323"/>
      <c r="K42" s="323"/>
      <c r="L42" s="323"/>
      <c r="M42" s="323"/>
      <c r="N42" s="323"/>
      <c r="O42" s="323"/>
      <c r="P42" s="323"/>
      <c r="Q42" s="323"/>
      <c r="R42" s="323"/>
      <c r="S42" s="323"/>
      <c r="T42" s="323"/>
      <c r="U42" s="323"/>
      <c r="V42" s="323"/>
      <c r="W42" s="323"/>
      <c r="X42" s="877"/>
      <c r="Y42" s="323"/>
      <c r="Z42" s="1330"/>
      <c r="AA42" s="1331"/>
      <c r="AB42" s="1331"/>
      <c r="AF42" s="313"/>
      <c r="AG42" s="323"/>
      <c r="AH42" s="323"/>
      <c r="AI42" s="1326" t="s">
        <v>961</v>
      </c>
      <c r="AJ42" s="1326"/>
      <c r="AK42" s="1326"/>
      <c r="AL42" s="1326"/>
      <c r="AM42" s="1326"/>
    </row>
    <row r="43" spans="1:41" ht="76.5">
      <c r="A43" s="792"/>
      <c r="B43" s="875"/>
      <c r="C43" s="792"/>
      <c r="D43" s="792"/>
      <c r="E43" s="792"/>
      <c r="F43" s="792"/>
      <c r="G43" s="792"/>
      <c r="H43" s="792"/>
      <c r="I43" s="792"/>
      <c r="J43" s="792"/>
      <c r="K43" s="792"/>
      <c r="L43" s="792"/>
      <c r="M43" s="792"/>
      <c r="N43" s="792"/>
      <c r="O43" s="792"/>
      <c r="P43" s="792"/>
      <c r="Q43" s="792"/>
      <c r="R43" s="792"/>
      <c r="S43" s="792"/>
      <c r="T43" s="792"/>
      <c r="U43" s="792"/>
      <c r="V43" s="789"/>
      <c r="W43" s="874"/>
      <c r="X43" s="873" t="s">
        <v>960</v>
      </c>
      <c r="Y43" s="872" t="s">
        <v>959</v>
      </c>
      <c r="Z43" s="872" t="s">
        <v>493</v>
      </c>
      <c r="AA43" s="872" t="s">
        <v>958</v>
      </c>
      <c r="AB43" s="872" t="s">
        <v>494</v>
      </c>
      <c r="AC43" s="871" t="s">
        <v>957</v>
      </c>
      <c r="AD43" s="870" t="s">
        <v>956</v>
      </c>
      <c r="AF43" s="792"/>
      <c r="AG43" s="789"/>
      <c r="AH43" s="874"/>
      <c r="AI43" s="873" t="s">
        <v>960</v>
      </c>
      <c r="AJ43" s="872" t="s">
        <v>959</v>
      </c>
      <c r="AK43" s="872" t="s">
        <v>493</v>
      </c>
      <c r="AL43" s="872" t="s">
        <v>958</v>
      </c>
      <c r="AM43" s="872" t="s">
        <v>494</v>
      </c>
      <c r="AN43" s="871" t="s">
        <v>957</v>
      </c>
      <c r="AO43" s="870" t="s">
        <v>956</v>
      </c>
    </row>
    <row r="44" spans="1:41" ht="12.75">
      <c r="A44" s="299">
        <f>COUNTIF(A6:A41,"=0")</f>
        <v>0</v>
      </c>
      <c r="V44" s="605"/>
      <c r="W44" s="867" t="s">
        <v>955</v>
      </c>
      <c r="X44" s="866">
        <f>SUM(X6:X41)</f>
        <v>44.56667915959348</v>
      </c>
      <c r="Y44" s="866">
        <f>SUM(Y6:Y41)/12</f>
        <v>13.058785529715761</v>
      </c>
      <c r="Z44" s="866">
        <f>SUM(Z6:Z41)</f>
        <v>508.8177312664321</v>
      </c>
      <c r="AA44" s="866">
        <f>SUM(AA6:AA41)</f>
        <v>695.6304043748033</v>
      </c>
      <c r="AB44" s="866">
        <f>SUM(AB6:AB41)</f>
        <v>112.22553055160785</v>
      </c>
      <c r="AC44" s="865">
        <f>Z44/Conversions!$B$235</f>
        <v>0.042450825046465676</v>
      </c>
      <c r="AD44" s="864">
        <f>AA44/2000*Conversions!$B$166</f>
        <v>0.06817177962873072</v>
      </c>
      <c r="AG44" s="605"/>
      <c r="AH44" s="867" t="s">
        <v>955</v>
      </c>
      <c r="AI44" s="869">
        <f>SUM(AI6:AI41)</f>
        <v>26.788509446857287</v>
      </c>
      <c r="AJ44" s="869">
        <f>SUM(AJ6:AJ41)/12</f>
        <v>7.849483204134368</v>
      </c>
      <c r="AK44" s="869">
        <f>SUM(AK6:AK41)</f>
        <v>305.84438548693623</v>
      </c>
      <c r="AL44" s="869">
        <f>SUM(AL6:AL41)</f>
        <v>418.13529772734285</v>
      </c>
      <c r="AM44" s="869">
        <f>SUM(AM6:AM41)</f>
        <v>67.45745346191379</v>
      </c>
      <c r="AN44" s="865">
        <f>AK44/Conversions!$B$235</f>
        <v>0.025516694293326956</v>
      </c>
      <c r="AO44" s="864">
        <f>AL44/2000*Conversions!$B$166</f>
        <v>0.0409772591772796</v>
      </c>
    </row>
    <row r="45" spans="1:41" ht="25.5">
      <c r="A45" s="299" t="s">
        <v>954</v>
      </c>
      <c r="B45" s="868">
        <f>36-A44</f>
        <v>36</v>
      </c>
      <c r="V45" s="605"/>
      <c r="W45" s="867" t="s">
        <v>953</v>
      </c>
      <c r="X45" s="866">
        <f>X44/$B$45*'Basic School Info'!B6</f>
        <v>495.1853239954831</v>
      </c>
      <c r="Y45" s="866">
        <f>Y44/$B$45*'Basic School Info'!B6</f>
        <v>145.0976169968418</v>
      </c>
      <c r="Z45" s="866">
        <f>Z44/$B$45*'Basic School Info'!B6</f>
        <v>5653.5303474048005</v>
      </c>
      <c r="AA45" s="866">
        <f>AA44/$B$45*'Basic School Info'!B6</f>
        <v>7729.226715275592</v>
      </c>
      <c r="AB45" s="866">
        <f>AB44/$B$45*'Basic School Info'!B6</f>
        <v>1246.9503394623096</v>
      </c>
      <c r="AC45" s="865">
        <f>Z45/Conversions!$B$235</f>
        <v>0.4716758338496186</v>
      </c>
      <c r="AD45" s="864">
        <f>AA45/2000*Conversions!$B$166</f>
        <v>0.757464218097008</v>
      </c>
      <c r="AG45" s="605"/>
      <c r="AH45" s="867" t="s">
        <v>953</v>
      </c>
      <c r="AI45" s="866">
        <f>AI44/$B$45*'Basic School Info'!B6</f>
        <v>297.65010496508097</v>
      </c>
      <c r="AJ45" s="866">
        <f>AJ44/$B$45*'Basic School Info'!B6</f>
        <v>87.21648004593743</v>
      </c>
      <c r="AK45" s="866">
        <f>AK44/$B$45*'Basic School Info'!B6</f>
        <v>3398.2709498548475</v>
      </c>
      <c r="AL45" s="866">
        <f>AL44/$B$45*'Basic School Info'!B6</f>
        <v>4645.947752526032</v>
      </c>
      <c r="AM45" s="866">
        <f>AM44/$B$45*'Basic School Info'!B6</f>
        <v>749.527260687931</v>
      </c>
      <c r="AN45" s="865">
        <f>AK45/Conversions!$B$235</f>
        <v>0.28351882548141066</v>
      </c>
      <c r="AO45" s="864">
        <f>AL45/2000*Conversions!$B$166</f>
        <v>0.4553028797475512</v>
      </c>
    </row>
    <row r="46" spans="22:41" ht="12.75">
      <c r="V46" s="863"/>
      <c r="W46" s="862" t="s">
        <v>952</v>
      </c>
      <c r="X46" s="861">
        <f>X45/$B$45*'Basic School Info'!B7</f>
        <v>151306.6267763976</v>
      </c>
      <c r="Y46" s="861">
        <f>Y45/$B$45*'Basic School Info'!B7</f>
        <v>44335.38297125721</v>
      </c>
      <c r="Z46" s="861">
        <f>Z45/$B$45*'Basic School Info'!B7</f>
        <v>1727467.606151467</v>
      </c>
      <c r="AA46" s="861">
        <f>AA45/$B$45*'Basic School Info'!B7</f>
        <v>2361708.1630008756</v>
      </c>
      <c r="AB46" s="861">
        <f>AB45/$B$45*'Basic School Info'!B7</f>
        <v>381012.6037245946</v>
      </c>
      <c r="AC46" s="860">
        <f>Z46/Conversions!$B$235</f>
        <v>144.12317145405015</v>
      </c>
      <c r="AD46" s="859">
        <f>AA46/2000*Conversions!$B$166</f>
        <v>231.4473999740858</v>
      </c>
      <c r="AG46" s="863"/>
      <c r="AH46" s="862" t="s">
        <v>952</v>
      </c>
      <c r="AI46" s="861">
        <f>AI45/$B$45*'Basic School Info'!B7</f>
        <v>90948.64318377475</v>
      </c>
      <c r="AJ46" s="861">
        <f>AJ45/$B$45*'Basic School Info'!B7</f>
        <v>26649.48001403644</v>
      </c>
      <c r="AK46" s="861">
        <f>AK45/$B$45*'Basic School Info'!B7</f>
        <v>1038360.5680112033</v>
      </c>
      <c r="AL46" s="861">
        <f>AL45/$B$45*'Basic School Info'!B7</f>
        <v>1419595.1466051762</v>
      </c>
      <c r="AM46" s="861">
        <f>AM45/$B$45*'Basic School Info'!B7</f>
        <v>229022.21854353446</v>
      </c>
      <c r="AN46" s="860">
        <f>AK46/Conversions!$B$235</f>
        <v>86.63075223043103</v>
      </c>
      <c r="AO46" s="859">
        <f>AL46/2000*Conversions!$B$166</f>
        <v>139.12032436730726</v>
      </c>
    </row>
  </sheetData>
  <sheetProtection/>
  <mergeCells count="10">
    <mergeCell ref="AI42:AM42"/>
    <mergeCell ref="Z4:AB4"/>
    <mergeCell ref="Z42:AB42"/>
    <mergeCell ref="AC4:AH4"/>
    <mergeCell ref="C4:G4"/>
    <mergeCell ref="H4:L4"/>
    <mergeCell ref="M4:Q4"/>
    <mergeCell ref="R4:V4"/>
    <mergeCell ref="Y4:Y5"/>
    <mergeCell ref="AI4:AM4"/>
  </mergeCells>
  <printOptions headings="1"/>
  <pageMargins left="0.75" right="0.75" top="1" bottom="1" header="0.5" footer="0.5"/>
  <pageSetup fitToHeight="1" fitToWidth="1" orientation="landscape" paperSize="3" scale="43" r:id="rId1"/>
</worksheet>
</file>

<file path=xl/worksheets/sheet2.xml><?xml version="1.0" encoding="utf-8"?>
<worksheet xmlns="http://schemas.openxmlformats.org/spreadsheetml/2006/main" xmlns:r="http://schemas.openxmlformats.org/officeDocument/2006/relationships">
  <sheetPr codeName="Sheet4">
    <tabColor theme="9" tint="0.39998000860214233"/>
  </sheetPr>
  <dimension ref="A1:B9"/>
  <sheetViews>
    <sheetView zoomScalePageLayoutView="0" workbookViewId="0" topLeftCell="A1">
      <selection activeCell="C7" sqref="C7"/>
    </sheetView>
  </sheetViews>
  <sheetFormatPr defaultColWidth="9.140625" defaultRowHeight="12.75"/>
  <cols>
    <col min="1" max="1" width="50.140625" style="0" customWidth="1"/>
    <col min="2" max="2" width="15.140625" style="0" customWidth="1"/>
  </cols>
  <sheetData>
    <row r="1" ht="15.75">
      <c r="A1" s="266" t="s">
        <v>321</v>
      </c>
    </row>
    <row r="2" ht="15.75">
      <c r="A2" s="266"/>
    </row>
    <row r="3" spans="1:2" ht="12.75">
      <c r="A3" s="1109" t="s">
        <v>323</v>
      </c>
      <c r="B3" s="176"/>
    </row>
    <row r="4" spans="1:2" ht="12.75">
      <c r="A4" s="1108" t="s">
        <v>322</v>
      </c>
      <c r="B4" s="176"/>
    </row>
    <row r="5" spans="1:2" ht="12.75">
      <c r="A5" s="1079" t="s">
        <v>714</v>
      </c>
      <c r="B5" s="1152" t="s">
        <v>782</v>
      </c>
    </row>
    <row r="6" spans="1:2" ht="12.75">
      <c r="A6" s="1078" t="s">
        <v>712</v>
      </c>
      <c r="B6" s="858">
        <v>400</v>
      </c>
    </row>
    <row r="7" spans="1:2" ht="12.75">
      <c r="A7" s="1080" t="s">
        <v>919</v>
      </c>
      <c r="B7" s="1084">
        <v>11000</v>
      </c>
    </row>
    <row r="8" spans="1:2" ht="12.75">
      <c r="A8" s="1080" t="s">
        <v>920</v>
      </c>
      <c r="B8" s="1081">
        <v>175</v>
      </c>
    </row>
    <row r="9" spans="1:2" ht="12.75">
      <c r="A9" s="1085" t="s">
        <v>925</v>
      </c>
      <c r="B9" s="260">
        <v>30</v>
      </c>
    </row>
  </sheetData>
  <sheetProtection/>
  <dataValidations count="1">
    <dataValidation type="list" allowBlank="1" showInputMessage="1" showErrorMessage="1" sqref="B5">
      <formula1>School_type_Paper</formula1>
    </dataValidation>
  </dataValidations>
  <printOptions headings="1"/>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37">
    <tabColor rgb="FFAD470F"/>
    <pageSetUpPr fitToPage="1"/>
  </sheetPr>
  <dimension ref="A1:P93"/>
  <sheetViews>
    <sheetView zoomScalePageLayoutView="0" workbookViewId="0" topLeftCell="A1">
      <selection activeCell="A1" sqref="A1"/>
    </sheetView>
  </sheetViews>
  <sheetFormatPr defaultColWidth="8.8515625" defaultRowHeight="12.75"/>
  <cols>
    <col min="1" max="1" width="24.7109375" style="299" customWidth="1"/>
    <col min="2" max="2" width="12.00390625" style="299" customWidth="1"/>
    <col min="3" max="7" width="11.28125" style="299" customWidth="1"/>
    <col min="8" max="12" width="10.421875" style="299" customWidth="1"/>
    <col min="13" max="13" width="11.00390625" style="299" bestFit="1" customWidth="1"/>
    <col min="14" max="17" width="8.8515625" style="299" customWidth="1"/>
    <col min="18" max="18" width="10.28125" style="299" customWidth="1"/>
    <col min="19" max="16384" width="8.8515625" style="299" customWidth="1"/>
  </cols>
  <sheetData>
    <row r="1" spans="1:12" s="300" customFormat="1" ht="15.75">
      <c r="A1" s="1131" t="s">
        <v>989</v>
      </c>
      <c r="B1" s="296"/>
      <c r="C1" s="928"/>
      <c r="E1" s="928"/>
      <c r="F1" s="928"/>
      <c r="G1" s="928"/>
      <c r="H1" s="927"/>
      <c r="I1" s="927"/>
      <c r="J1" s="927"/>
      <c r="K1" s="927"/>
      <c r="L1" s="927"/>
    </row>
    <row r="2" spans="1:12" s="300" customFormat="1" ht="12.75">
      <c r="A2" s="296"/>
      <c r="B2" s="296"/>
      <c r="C2" s="928"/>
      <c r="E2" s="928"/>
      <c r="F2" s="928"/>
      <c r="G2" s="928"/>
      <c r="H2" s="927"/>
      <c r="I2" s="927"/>
      <c r="J2" s="927"/>
      <c r="K2" s="927"/>
      <c r="L2" s="927"/>
    </row>
    <row r="3" spans="1:12" s="300" customFormat="1" ht="12.75">
      <c r="A3" s="932" t="s">
        <v>988</v>
      </c>
      <c r="B3" s="296"/>
      <c r="C3" s="928"/>
      <c r="E3" s="928"/>
      <c r="F3" s="928"/>
      <c r="G3" s="928"/>
      <c r="H3" s="927"/>
      <c r="I3" s="927"/>
      <c r="J3" s="927"/>
      <c r="K3" s="927"/>
      <c r="L3" s="927"/>
    </row>
    <row r="4" spans="1:12" s="300" customFormat="1" ht="12.75">
      <c r="A4" s="432"/>
      <c r="B4" s="296"/>
      <c r="C4" s="928"/>
      <c r="E4" s="928"/>
      <c r="F4" s="928"/>
      <c r="G4" s="928"/>
      <c r="H4" s="927"/>
      <c r="I4" s="927"/>
      <c r="J4" s="927"/>
      <c r="K4" s="927"/>
      <c r="L4" s="927"/>
    </row>
    <row r="5" spans="1:16" s="300" customFormat="1" ht="12.75">
      <c r="A5" s="734"/>
      <c r="B5" s="857"/>
      <c r="C5" s="994"/>
      <c r="D5" s="992"/>
      <c r="E5" s="994"/>
      <c r="F5" s="994"/>
      <c r="G5" s="994"/>
      <c r="H5" s="993"/>
      <c r="I5" s="836"/>
      <c r="J5" s="993"/>
      <c r="K5" s="993"/>
      <c r="L5" s="993"/>
      <c r="M5" s="992"/>
      <c r="N5" s="992"/>
      <c r="O5" s="992"/>
      <c r="P5" s="992"/>
    </row>
    <row r="6" ht="12.75">
      <c r="I6" s="836"/>
    </row>
    <row r="7" spans="1:13" ht="40.5" customHeight="1">
      <c r="A7" s="991"/>
      <c r="B7" s="991"/>
      <c r="C7" s="1337" t="s">
        <v>987</v>
      </c>
      <c r="D7" s="1338"/>
      <c r="E7" s="1338"/>
      <c r="F7" s="1338"/>
      <c r="G7" s="1339"/>
      <c r="H7" s="1334" t="s">
        <v>986</v>
      </c>
      <c r="I7" s="1335"/>
      <c r="J7" s="1335"/>
      <c r="K7" s="1335"/>
      <c r="L7" s="1335"/>
      <c r="M7" s="1336"/>
    </row>
    <row r="8" spans="1:13" s="868" customFormat="1" ht="68.25" customHeight="1">
      <c r="A8" s="990" t="s">
        <v>449</v>
      </c>
      <c r="B8" s="989" t="s">
        <v>335</v>
      </c>
      <c r="C8" s="959" t="s">
        <v>960</v>
      </c>
      <c r="D8" s="988" t="s">
        <v>962</v>
      </c>
      <c r="E8" s="987" t="s">
        <v>493</v>
      </c>
      <c r="F8" s="987" t="s">
        <v>958</v>
      </c>
      <c r="G8" s="986" t="s">
        <v>494</v>
      </c>
      <c r="H8" s="985" t="s">
        <v>960</v>
      </c>
      <c r="I8" s="984" t="s">
        <v>962</v>
      </c>
      <c r="J8" s="984" t="s">
        <v>493</v>
      </c>
      <c r="K8" s="984" t="s">
        <v>958</v>
      </c>
      <c r="L8" s="984" t="s">
        <v>494</v>
      </c>
      <c r="M8" s="983" t="s">
        <v>985</v>
      </c>
    </row>
    <row r="9" spans="1:13" ht="12.75">
      <c r="A9" s="982" t="str">
        <f>'Zero Waste Calc'!A6</f>
        <v>Student01</v>
      </c>
      <c r="B9" s="981" t="str">
        <f>'Zero Waste Calc'!B6</f>
        <v>Y</v>
      </c>
      <c r="C9" s="980">
        <f>'Zero Waste Log'!K12+'Zero Waste Calc'!K6+'Zero Waste Calc'!X6</f>
        <v>8.594204016843404</v>
      </c>
      <c r="D9" s="979">
        <f>'Zero Waste Calc'!Y6</f>
        <v>10.879844961240309</v>
      </c>
      <c r="E9" s="979">
        <f>'Zero Waste Calc'!Z6</f>
        <v>35.326524156934816</v>
      </c>
      <c r="F9" s="979">
        <f>'Zero Waste Calc'!AA6</f>
        <v>48.296674377444305</v>
      </c>
      <c r="G9" s="978">
        <f>'Zero Waste Calc'!AB6</f>
        <v>7.79166619486429</v>
      </c>
      <c r="H9" s="977">
        <f>'Zero Waste Calc'!AI6</f>
        <v>2.2476245067131106</v>
      </c>
      <c r="I9" s="976">
        <f>'Zero Waste Calc'!AJ6</f>
        <v>7.903100775193797</v>
      </c>
      <c r="J9" s="976">
        <f>'Zero Waste Calc'!AK6</f>
        <v>25.661126738863587</v>
      </c>
      <c r="K9" s="976">
        <f>'Zero Waste Calc'!AL6</f>
        <v>35.082621679946186</v>
      </c>
      <c r="L9" s="976">
        <f>'Zero Waste Calc'!AM6</f>
        <v>5.659853000116954</v>
      </c>
      <c r="M9" s="975">
        <f aca="true" t="shared" si="0" ref="M9:M44">IF(F9=0,0,K9/F9)</f>
        <v>0.7263982899893124</v>
      </c>
    </row>
    <row r="10" spans="1:13" ht="12.75">
      <c r="A10" s="974" t="str">
        <f>'Zero Waste Calc'!A7</f>
        <v>Student02</v>
      </c>
      <c r="B10" s="973" t="str">
        <f>'Zero Waste Calc'!B7</f>
        <v>Y</v>
      </c>
      <c r="C10" s="965">
        <f>'Zero Waste Log'!K13+'Zero Waste Calc'!K7+'Zero Waste Calc'!X7</f>
        <v>4.501355849996693</v>
      </c>
      <c r="D10" s="972">
        <f>'Zero Waste Calc'!Y7</f>
        <v>5.27906976744186</v>
      </c>
      <c r="E10" s="972">
        <f>'Zero Waste Calc'!Z7</f>
        <v>17.140978233610696</v>
      </c>
      <c r="F10" s="972">
        <f>'Zero Waste Calc'!AA7</f>
        <v>23.434296580719323</v>
      </c>
      <c r="G10" s="971">
        <f>'Zero Waste Calc'!AB7</f>
        <v>3.7806374625597305</v>
      </c>
      <c r="H10" s="970">
        <f>'Zero Waste Calc'!AI7</f>
        <v>0.654776339866399</v>
      </c>
      <c r="I10" s="969">
        <f>'Zero Waste Calc'!AJ7</f>
        <v>2.3023255813953485</v>
      </c>
      <c r="J10" s="969">
        <f>'Zero Waste Calc'!AK7</f>
        <v>7.475580815539464</v>
      </c>
      <c r="K10" s="969">
        <f>'Zero Waste Calc'!AL7</f>
        <v>10.220243883221203</v>
      </c>
      <c r="L10" s="969">
        <f>'Zero Waste Calc'!AM7</f>
        <v>1.6488242678123934</v>
      </c>
      <c r="M10" s="968">
        <f t="shared" si="0"/>
        <v>0.43612334801762115</v>
      </c>
    </row>
    <row r="11" spans="1:13" ht="12.75">
      <c r="A11" s="974" t="str">
        <f>'Zero Waste Calc'!A8</f>
        <v>Student03</v>
      </c>
      <c r="B11" s="973" t="str">
        <f>'Zero Waste Calc'!B8</f>
        <v>Y</v>
      </c>
      <c r="C11" s="965">
        <f>'Zero Waste Log'!K14+'Zero Waste Calc'!K8+'Zero Waste Calc'!X8</f>
        <v>177.89358231001566</v>
      </c>
      <c r="D11" s="972">
        <f>'Zero Waste Calc'!Y8</f>
        <v>10.174418604651162</v>
      </c>
      <c r="E11" s="972">
        <f>'Zero Waste Calc'!Z8</f>
        <v>33.036026331298146</v>
      </c>
      <c r="F11" s="972">
        <f>'Zero Waste Calc'!AA8</f>
        <v>45.16521918090178</v>
      </c>
      <c r="G11" s="971">
        <f>'Zero Waste Calc'!AB8</f>
        <v>7.286470880484062</v>
      </c>
      <c r="H11" s="970">
        <f>'Zero Waste Calc'!AI8</f>
        <v>2.047002799885359</v>
      </c>
      <c r="I11" s="969">
        <f>'Zero Waste Calc'!AJ8</f>
        <v>7.197674418604651</v>
      </c>
      <c r="J11" s="969">
        <f>'Zero Waste Calc'!AK8</f>
        <v>23.370628913226916</v>
      </c>
      <c r="K11" s="969">
        <f>'Zero Waste Calc'!AL8</f>
        <v>31.95116648340366</v>
      </c>
      <c r="L11" s="969">
        <f>'Zero Waste Calc'!AM8</f>
        <v>5.154657685736725</v>
      </c>
      <c r="M11" s="968">
        <f t="shared" si="0"/>
        <v>0.7074285714285715</v>
      </c>
    </row>
    <row r="12" spans="1:13" ht="12.75">
      <c r="A12" s="974" t="str">
        <f>'Zero Waste Calc'!A9</f>
        <v>Student04</v>
      </c>
      <c r="B12" s="973" t="str">
        <f>'Zero Waste Calc'!B9</f>
        <v>Y</v>
      </c>
      <c r="C12" s="965">
        <f>'Zero Waste Log'!K15+'Zero Waste Calc'!K9+'Zero Waste Calc'!X9</f>
        <v>177.90350316365</v>
      </c>
      <c r="D12" s="972">
        <f>'Zero Waste Calc'!Y9</f>
        <v>10.209302325581396</v>
      </c>
      <c r="E12" s="972">
        <f>'Zero Waste Calc'!Z9</f>
        <v>33.149292707291174</v>
      </c>
      <c r="F12" s="972">
        <f>'Zero Waste Calc'!AA9</f>
        <v>45.320071360950585</v>
      </c>
      <c r="G12" s="971">
        <f>'Zero Waste Calc'!AB9</f>
        <v>7.3114530663600075</v>
      </c>
      <c r="H12" s="970">
        <f>'Zero Waste Calc'!AI9</f>
        <v>2.056923653519698</v>
      </c>
      <c r="I12" s="969">
        <f>'Zero Waste Calc'!AJ9</f>
        <v>7.232558139534884</v>
      </c>
      <c r="J12" s="969">
        <f>'Zero Waste Calc'!AK9</f>
        <v>23.483895289219944</v>
      </c>
      <c r="K12" s="969">
        <f>'Zero Waste Calc'!AL9</f>
        <v>32.10601866345247</v>
      </c>
      <c r="L12" s="969">
        <f>'Zero Waste Calc'!AM9</f>
        <v>5.17963987161267</v>
      </c>
      <c r="M12" s="968">
        <f t="shared" si="0"/>
        <v>0.7084282460136675</v>
      </c>
    </row>
    <row r="13" spans="1:13" ht="12.75">
      <c r="A13" s="974" t="str">
        <f>'Zero Waste Calc'!A10</f>
        <v>Student05</v>
      </c>
      <c r="B13" s="973" t="str">
        <f>'Zero Waste Calc'!B10</f>
        <v>Y</v>
      </c>
      <c r="C13" s="965">
        <f>'Zero Waste Log'!K16+'Zero Waste Calc'!K10+'Zero Waste Calc'!X10</f>
        <v>1.963425119601402</v>
      </c>
      <c r="D13" s="972">
        <f>'Zero Waste Calc'!Y10</f>
        <v>3.387596899224806</v>
      </c>
      <c r="E13" s="972">
        <f>'Zero Waste Calc'!Z10</f>
        <v>10.99942362421127</v>
      </c>
      <c r="F13" s="972">
        <f>'Zero Waste Calc'!AA10</f>
        <v>15.037867262517393</v>
      </c>
      <c r="G13" s="971">
        <f>'Zero Waste Calc'!AB10</f>
        <v>2.42604782839736</v>
      </c>
      <c r="H13" s="970">
        <f>'Zero Waste Calc'!AI10</f>
        <v>0.11684560947110822</v>
      </c>
      <c r="I13" s="969">
        <f>'Zero Waste Calc'!AJ10</f>
        <v>0.4108527131782944</v>
      </c>
      <c r="J13" s="969">
        <f>'Zero Waste Calc'!AK10</f>
        <v>1.334026206140038</v>
      </c>
      <c r="K13" s="969">
        <f>'Zero Waste Calc'!AL10</f>
        <v>1.8238145650192727</v>
      </c>
      <c r="L13" s="969">
        <f>'Zero Waste Calc'!AM10</f>
        <v>0.294234633650023</v>
      </c>
      <c r="M13" s="968">
        <f t="shared" si="0"/>
        <v>0.1212814645308925</v>
      </c>
    </row>
    <row r="14" spans="1:13" ht="12.75">
      <c r="A14" s="974" t="str">
        <f>'Zero Waste Calc'!A11</f>
        <v>Student06</v>
      </c>
      <c r="B14" s="973" t="str">
        <f>'Zero Waste Calc'!B11</f>
        <v>n</v>
      </c>
      <c r="C14" s="965">
        <f>'Zero Waste Log'!K17+'Zero Waste Calc'!K11+'Zero Waste Calc'!X11</f>
        <v>0</v>
      </c>
      <c r="D14" s="972">
        <f>'Zero Waste Calc'!Y11</f>
        <v>0</v>
      </c>
      <c r="E14" s="972">
        <f>'Zero Waste Calc'!Z11</f>
        <v>0</v>
      </c>
      <c r="F14" s="972">
        <f>'Zero Waste Calc'!AA11</f>
        <v>0</v>
      </c>
      <c r="G14" s="971">
        <f>'Zero Waste Calc'!AB11</f>
        <v>0</v>
      </c>
      <c r="H14" s="970">
        <f>'Zero Waste Calc'!AI11</f>
        <v>0</v>
      </c>
      <c r="I14" s="969">
        <f>'Zero Waste Calc'!AJ11</f>
        <v>0</v>
      </c>
      <c r="J14" s="969">
        <f>'Zero Waste Calc'!AK11</f>
        <v>0</v>
      </c>
      <c r="K14" s="969">
        <f>'Zero Waste Calc'!AL11</f>
        <v>0</v>
      </c>
      <c r="L14" s="969">
        <f>'Zero Waste Calc'!AM11</f>
        <v>0</v>
      </c>
      <c r="M14" s="968">
        <f t="shared" si="0"/>
        <v>0</v>
      </c>
    </row>
    <row r="15" spans="1:13" ht="12.75">
      <c r="A15" s="974" t="str">
        <f>'Zero Waste Calc'!A12</f>
        <v>Student07</v>
      </c>
      <c r="B15" s="973" t="str">
        <f>'Zero Waste Calc'!B12</f>
        <v>y</v>
      </c>
      <c r="C15" s="965">
        <f>'Zero Waste Log'!K18+'Zero Waste Calc'!K12+'Zero Waste Calc'!X12</f>
        <v>6.039286580391984</v>
      </c>
      <c r="D15" s="972">
        <f>'Zero Waste Calc'!Y12</f>
        <v>7.170542635658914</v>
      </c>
      <c r="E15" s="972">
        <f>'Zero Waste Calc'!Z12</f>
        <v>23.282532843010124</v>
      </c>
      <c r="F15" s="972">
        <f>'Zero Waste Calc'!AA12</f>
        <v>31.830725898921255</v>
      </c>
      <c r="G15" s="971">
        <f>'Zero Waste Calc'!AB12</f>
        <v>5.135227096722101</v>
      </c>
      <c r="H15" s="970">
        <f>'Zero Waste Calc'!AI12</f>
        <v>1.19270707026169</v>
      </c>
      <c r="I15" s="969">
        <f>'Zero Waste Calc'!AJ12</f>
        <v>4.193798449612403</v>
      </c>
      <c r="J15" s="969">
        <f>'Zero Waste Calc'!AK12</f>
        <v>13.617135424938892</v>
      </c>
      <c r="K15" s="969">
        <f>'Zero Waste Calc'!AL12</f>
        <v>18.616673201423133</v>
      </c>
      <c r="L15" s="969">
        <f>'Zero Waste Calc'!AM12</f>
        <v>3.003413901974764</v>
      </c>
      <c r="M15" s="968">
        <f t="shared" si="0"/>
        <v>0.5848648648648648</v>
      </c>
    </row>
    <row r="16" spans="1:13" ht="12.75">
      <c r="A16" s="974" t="str">
        <f>'Zero Waste Calc'!A13</f>
        <v>Student08</v>
      </c>
      <c r="B16" s="973" t="str">
        <f>'Zero Waste Calc'!B13</f>
        <v>Y</v>
      </c>
      <c r="C16" s="965">
        <f>'Zero Waste Log'!K19+'Zero Waste Calc'!K13+'Zero Waste Calc'!X13</f>
        <v>4.501355849996693</v>
      </c>
      <c r="D16" s="972">
        <f>'Zero Waste Calc'!Y13</f>
        <v>5.27906976744186</v>
      </c>
      <c r="E16" s="972">
        <f>'Zero Waste Calc'!Z13</f>
        <v>17.140978233610696</v>
      </c>
      <c r="F16" s="972">
        <f>'Zero Waste Calc'!AA13</f>
        <v>23.434296580719323</v>
      </c>
      <c r="G16" s="971">
        <f>'Zero Waste Calc'!AB13</f>
        <v>3.7806374625597305</v>
      </c>
      <c r="H16" s="970">
        <f>'Zero Waste Calc'!AI13</f>
        <v>0.654776339866399</v>
      </c>
      <c r="I16" s="969">
        <f>'Zero Waste Calc'!AJ13</f>
        <v>2.3023255813953485</v>
      </c>
      <c r="J16" s="969">
        <f>'Zero Waste Calc'!AK13</f>
        <v>7.475580815539464</v>
      </c>
      <c r="K16" s="969">
        <f>'Zero Waste Calc'!AL13</f>
        <v>10.220243883221203</v>
      </c>
      <c r="L16" s="969">
        <f>'Zero Waste Calc'!AM13</f>
        <v>1.6488242678123934</v>
      </c>
      <c r="M16" s="968">
        <f t="shared" si="0"/>
        <v>0.43612334801762115</v>
      </c>
    </row>
    <row r="17" spans="1:13" ht="12.75">
      <c r="A17" s="974" t="str">
        <f>'Zero Waste Calc'!A14</f>
        <v>Student09</v>
      </c>
      <c r="B17" s="973" t="str">
        <f>'Zero Waste Calc'!B14</f>
        <v>Y</v>
      </c>
      <c r="C17" s="965">
        <f>'Zero Waste Log'!K20+'Zero Waste Calc'!K14+'Zero Waste Calc'!X14</f>
        <v>180.94318657818735</v>
      </c>
      <c r="D17" s="972">
        <f>'Zero Waste Calc'!Y14</f>
        <v>10.348837209302326</v>
      </c>
      <c r="E17" s="972">
        <f>'Zero Waste Calc'!Z14</f>
        <v>33.60235821126326</v>
      </c>
      <c r="F17" s="972">
        <f>'Zero Waste Calc'!AA14</f>
        <v>45.93948008114581</v>
      </c>
      <c r="G17" s="971">
        <f>'Zero Waste Calc'!AB14</f>
        <v>7.411381809863789</v>
      </c>
      <c r="H17" s="970">
        <f>'Zero Waste Calc'!AI14</f>
        <v>2.0966070680570557</v>
      </c>
      <c r="I17" s="969">
        <f>'Zero Waste Calc'!AJ14</f>
        <v>7.372093023255815</v>
      </c>
      <c r="J17" s="969">
        <f>'Zero Waste Calc'!AK14</f>
        <v>23.93696079319203</v>
      </c>
      <c r="K17" s="969">
        <f>'Zero Waste Calc'!AL14</f>
        <v>32.72542738364769</v>
      </c>
      <c r="L17" s="969">
        <f>'Zero Waste Calc'!AM14</f>
        <v>5.279568615116451</v>
      </c>
      <c r="M17" s="968">
        <f t="shared" si="0"/>
        <v>0.7123595505617978</v>
      </c>
    </row>
    <row r="18" spans="1:13" ht="12.75">
      <c r="A18" s="974" t="str">
        <f>'Zero Waste Calc'!A15</f>
        <v>Student10</v>
      </c>
      <c r="B18" s="973" t="str">
        <f>'Zero Waste Calc'!B15</f>
        <v>Y</v>
      </c>
      <c r="C18" s="965">
        <f>'Zero Waste Log'!K21+'Zero Waste Calc'!K15+'Zero Waste Calc'!X15</f>
        <v>180.94318657818735</v>
      </c>
      <c r="D18" s="972">
        <f>'Zero Waste Calc'!Y15</f>
        <v>10.348837209302326</v>
      </c>
      <c r="E18" s="972">
        <f>'Zero Waste Calc'!Z15</f>
        <v>33.60235821126326</v>
      </c>
      <c r="F18" s="972">
        <f>'Zero Waste Calc'!AA15</f>
        <v>45.93948008114581</v>
      </c>
      <c r="G18" s="971">
        <f>'Zero Waste Calc'!AB15</f>
        <v>7.411381809863789</v>
      </c>
      <c r="H18" s="970">
        <f>'Zero Waste Calc'!AI15</f>
        <v>2.0966070680570557</v>
      </c>
      <c r="I18" s="969">
        <f>'Zero Waste Calc'!AJ15</f>
        <v>7.372093023255815</v>
      </c>
      <c r="J18" s="969">
        <f>'Zero Waste Calc'!AK15</f>
        <v>23.93696079319203</v>
      </c>
      <c r="K18" s="969">
        <f>'Zero Waste Calc'!AL15</f>
        <v>32.72542738364769</v>
      </c>
      <c r="L18" s="969">
        <f>'Zero Waste Calc'!AM15</f>
        <v>5.279568615116451</v>
      </c>
      <c r="M18" s="968">
        <f t="shared" si="0"/>
        <v>0.7123595505617978</v>
      </c>
    </row>
    <row r="19" spans="1:13" ht="12.75">
      <c r="A19" s="974" t="str">
        <f>'Zero Waste Calc'!A16</f>
        <v>Student11</v>
      </c>
      <c r="B19" s="973" t="str">
        <f>'Zero Waste Calc'!B16</f>
        <v>Y</v>
      </c>
      <c r="C19" s="965">
        <f>'Zero Waste Log'!K22+'Zero Waste Calc'!K16+'Zero Waste Calc'!X16</f>
        <v>1.963425119601402</v>
      </c>
      <c r="D19" s="972">
        <f>'Zero Waste Calc'!Y16</f>
        <v>3.387596899224806</v>
      </c>
      <c r="E19" s="972">
        <f>'Zero Waste Calc'!Z16</f>
        <v>10.99942362421127</v>
      </c>
      <c r="F19" s="972">
        <f>'Zero Waste Calc'!AA16</f>
        <v>15.037867262517393</v>
      </c>
      <c r="G19" s="971">
        <f>'Zero Waste Calc'!AB16</f>
        <v>2.42604782839736</v>
      </c>
      <c r="H19" s="970">
        <f>'Zero Waste Calc'!AI16</f>
        <v>0.11684560947110822</v>
      </c>
      <c r="I19" s="969">
        <f>'Zero Waste Calc'!AJ16</f>
        <v>0.4108527131782944</v>
      </c>
      <c r="J19" s="969">
        <f>'Zero Waste Calc'!AK16</f>
        <v>1.334026206140038</v>
      </c>
      <c r="K19" s="969">
        <f>'Zero Waste Calc'!AL16</f>
        <v>1.8238145650192727</v>
      </c>
      <c r="L19" s="969">
        <f>'Zero Waste Calc'!AM16</f>
        <v>0.294234633650023</v>
      </c>
      <c r="M19" s="968">
        <f t="shared" si="0"/>
        <v>0.1212814645308925</v>
      </c>
    </row>
    <row r="20" spans="1:13" ht="12.75">
      <c r="A20" s="974" t="str">
        <f>'Zero Waste Calc'!A17</f>
        <v>Student12</v>
      </c>
      <c r="B20" s="973" t="str">
        <f>'Zero Waste Calc'!B17</f>
        <v>n</v>
      </c>
      <c r="C20" s="965">
        <f>'Zero Waste Log'!K23+'Zero Waste Calc'!K17+'Zero Waste Calc'!X17</f>
        <v>0</v>
      </c>
      <c r="D20" s="972">
        <f>'Zero Waste Calc'!Y17</f>
        <v>0</v>
      </c>
      <c r="E20" s="972">
        <f>'Zero Waste Calc'!Z17</f>
        <v>0</v>
      </c>
      <c r="F20" s="972">
        <f>'Zero Waste Calc'!AA17</f>
        <v>0</v>
      </c>
      <c r="G20" s="971">
        <f>'Zero Waste Calc'!AB17</f>
        <v>0</v>
      </c>
      <c r="H20" s="970">
        <f>'Zero Waste Calc'!AI17</f>
        <v>0</v>
      </c>
      <c r="I20" s="969">
        <f>'Zero Waste Calc'!AJ17</f>
        <v>0</v>
      </c>
      <c r="J20" s="969">
        <f>'Zero Waste Calc'!AK17</f>
        <v>0</v>
      </c>
      <c r="K20" s="969">
        <f>'Zero Waste Calc'!AL17</f>
        <v>0</v>
      </c>
      <c r="L20" s="969">
        <f>'Zero Waste Calc'!AM17</f>
        <v>0</v>
      </c>
      <c r="M20" s="968">
        <f t="shared" si="0"/>
        <v>0</v>
      </c>
    </row>
    <row r="21" spans="1:13" ht="12.75">
      <c r="A21" s="974" t="str">
        <f>'Zero Waste Calc'!A18</f>
        <v>Student13</v>
      </c>
      <c r="B21" s="973" t="str">
        <f>'Zero Waste Calc'!B18</f>
        <v>y</v>
      </c>
      <c r="C21" s="965">
        <f>'Zero Waste Log'!K24+'Zero Waste Calc'!K18+'Zero Waste Calc'!X18</f>
        <v>6.039286580391984</v>
      </c>
      <c r="D21" s="972">
        <f>'Zero Waste Calc'!Y18</f>
        <v>7.170542635658914</v>
      </c>
      <c r="E21" s="972">
        <f>'Zero Waste Calc'!Z18</f>
        <v>23.282532843010124</v>
      </c>
      <c r="F21" s="972">
        <f>'Zero Waste Calc'!AA18</f>
        <v>31.830725898921255</v>
      </c>
      <c r="G21" s="971">
        <f>'Zero Waste Calc'!AB18</f>
        <v>5.135227096722101</v>
      </c>
      <c r="H21" s="970">
        <f>'Zero Waste Calc'!AI18</f>
        <v>1.19270707026169</v>
      </c>
      <c r="I21" s="969">
        <f>'Zero Waste Calc'!AJ18</f>
        <v>4.193798449612403</v>
      </c>
      <c r="J21" s="969">
        <f>'Zero Waste Calc'!AK18</f>
        <v>13.617135424938892</v>
      </c>
      <c r="K21" s="969">
        <f>'Zero Waste Calc'!AL18</f>
        <v>18.616673201423133</v>
      </c>
      <c r="L21" s="969">
        <f>'Zero Waste Calc'!AM18</f>
        <v>3.003413901974764</v>
      </c>
      <c r="M21" s="968">
        <f t="shared" si="0"/>
        <v>0.5848648648648648</v>
      </c>
    </row>
    <row r="22" spans="1:13" ht="12.75">
      <c r="A22" s="974" t="str">
        <f>'Zero Waste Calc'!A19</f>
        <v>Student14</v>
      </c>
      <c r="B22" s="973" t="str">
        <f>'Zero Waste Calc'!B19</f>
        <v>Y</v>
      </c>
      <c r="C22" s="965">
        <f>'Zero Waste Log'!K25+'Zero Waste Calc'!K19+'Zero Waste Calc'!X19</f>
        <v>4.501355849996693</v>
      </c>
      <c r="D22" s="972">
        <f>'Zero Waste Calc'!Y19</f>
        <v>5.27906976744186</v>
      </c>
      <c r="E22" s="972">
        <f>'Zero Waste Calc'!Z19</f>
        <v>17.140978233610696</v>
      </c>
      <c r="F22" s="972">
        <f>'Zero Waste Calc'!AA19</f>
        <v>23.434296580719323</v>
      </c>
      <c r="G22" s="971">
        <f>'Zero Waste Calc'!AB19</f>
        <v>3.7806374625597305</v>
      </c>
      <c r="H22" s="970">
        <f>'Zero Waste Calc'!AI19</f>
        <v>0.654776339866399</v>
      </c>
      <c r="I22" s="969">
        <f>'Zero Waste Calc'!AJ19</f>
        <v>2.3023255813953485</v>
      </c>
      <c r="J22" s="969">
        <f>'Zero Waste Calc'!AK19</f>
        <v>7.475580815539464</v>
      </c>
      <c r="K22" s="969">
        <f>'Zero Waste Calc'!AL19</f>
        <v>10.220243883221203</v>
      </c>
      <c r="L22" s="969">
        <f>'Zero Waste Calc'!AM19</f>
        <v>1.6488242678123934</v>
      </c>
      <c r="M22" s="968">
        <f t="shared" si="0"/>
        <v>0.43612334801762115</v>
      </c>
    </row>
    <row r="23" spans="1:13" ht="12.75">
      <c r="A23" s="974" t="str">
        <f>'Zero Waste Calc'!A20</f>
        <v>Student15</v>
      </c>
      <c r="B23" s="973" t="str">
        <f>'Zero Waste Calc'!B20</f>
        <v>Y</v>
      </c>
      <c r="C23" s="965">
        <f>'Zero Waste Log'!K26+'Zero Waste Calc'!K20+'Zero Waste Calc'!X20</f>
        <v>180.94318657818735</v>
      </c>
      <c r="D23" s="972">
        <f>'Zero Waste Calc'!Y20</f>
        <v>10.348837209302326</v>
      </c>
      <c r="E23" s="972">
        <f>'Zero Waste Calc'!Z20</f>
        <v>33.60235821126326</v>
      </c>
      <c r="F23" s="972">
        <f>'Zero Waste Calc'!AA20</f>
        <v>45.93948008114581</v>
      </c>
      <c r="G23" s="971">
        <f>'Zero Waste Calc'!AB20</f>
        <v>7.411381809863789</v>
      </c>
      <c r="H23" s="970">
        <f>'Zero Waste Calc'!AI20</f>
        <v>2.0966070680570557</v>
      </c>
      <c r="I23" s="969">
        <f>'Zero Waste Calc'!AJ20</f>
        <v>7.372093023255815</v>
      </c>
      <c r="J23" s="969">
        <f>'Zero Waste Calc'!AK20</f>
        <v>23.93696079319203</v>
      </c>
      <c r="K23" s="969">
        <f>'Zero Waste Calc'!AL20</f>
        <v>32.72542738364769</v>
      </c>
      <c r="L23" s="969">
        <f>'Zero Waste Calc'!AM20</f>
        <v>5.279568615116451</v>
      </c>
      <c r="M23" s="968">
        <f t="shared" si="0"/>
        <v>0.7123595505617978</v>
      </c>
    </row>
    <row r="24" spans="1:13" ht="12.75">
      <c r="A24" s="974" t="str">
        <f>'Zero Waste Calc'!A21</f>
        <v>Student16</v>
      </c>
      <c r="B24" s="973" t="str">
        <f>'Zero Waste Calc'!B21</f>
        <v>Y</v>
      </c>
      <c r="C24" s="965">
        <f>'Zero Waste Log'!K27+'Zero Waste Calc'!K21+'Zero Waste Calc'!X21</f>
        <v>180.94318657818735</v>
      </c>
      <c r="D24" s="972">
        <f>'Zero Waste Calc'!Y21</f>
        <v>10.348837209302326</v>
      </c>
      <c r="E24" s="972">
        <f>'Zero Waste Calc'!Z21</f>
        <v>33.60235821126326</v>
      </c>
      <c r="F24" s="972">
        <f>'Zero Waste Calc'!AA21</f>
        <v>45.93948008114581</v>
      </c>
      <c r="G24" s="971">
        <f>'Zero Waste Calc'!AB21</f>
        <v>7.411381809863789</v>
      </c>
      <c r="H24" s="970">
        <f>'Zero Waste Calc'!AI21</f>
        <v>2.0966070680570557</v>
      </c>
      <c r="I24" s="969">
        <f>'Zero Waste Calc'!AJ21</f>
        <v>7.372093023255815</v>
      </c>
      <c r="J24" s="969">
        <f>'Zero Waste Calc'!AK21</f>
        <v>23.93696079319203</v>
      </c>
      <c r="K24" s="969">
        <f>'Zero Waste Calc'!AL21</f>
        <v>32.72542738364769</v>
      </c>
      <c r="L24" s="969">
        <f>'Zero Waste Calc'!AM21</f>
        <v>5.279568615116451</v>
      </c>
      <c r="M24" s="968">
        <f t="shared" si="0"/>
        <v>0.7123595505617978</v>
      </c>
    </row>
    <row r="25" spans="1:13" ht="12.75">
      <c r="A25" s="974" t="str">
        <f>'Zero Waste Calc'!A22</f>
        <v>Student17</v>
      </c>
      <c r="B25" s="973" t="str">
        <f>'Zero Waste Calc'!B22</f>
        <v>Y</v>
      </c>
      <c r="C25" s="965">
        <f>'Zero Waste Log'!K28+'Zero Waste Calc'!K22+'Zero Waste Calc'!X22</f>
        <v>1.963425119601402</v>
      </c>
      <c r="D25" s="972">
        <f>'Zero Waste Calc'!Y22</f>
        <v>3.387596899224806</v>
      </c>
      <c r="E25" s="972">
        <f>'Zero Waste Calc'!Z22</f>
        <v>10.99942362421127</v>
      </c>
      <c r="F25" s="972">
        <f>'Zero Waste Calc'!AA22</f>
        <v>15.037867262517393</v>
      </c>
      <c r="G25" s="971">
        <f>'Zero Waste Calc'!AB22</f>
        <v>2.42604782839736</v>
      </c>
      <c r="H25" s="970">
        <f>'Zero Waste Calc'!AI22</f>
        <v>0.11684560947110822</v>
      </c>
      <c r="I25" s="969">
        <f>'Zero Waste Calc'!AJ22</f>
        <v>0.4108527131782944</v>
      </c>
      <c r="J25" s="969">
        <f>'Zero Waste Calc'!AK22</f>
        <v>1.334026206140038</v>
      </c>
      <c r="K25" s="969">
        <f>'Zero Waste Calc'!AL22</f>
        <v>1.8238145650192727</v>
      </c>
      <c r="L25" s="969">
        <f>'Zero Waste Calc'!AM22</f>
        <v>0.294234633650023</v>
      </c>
      <c r="M25" s="968">
        <f t="shared" si="0"/>
        <v>0.1212814645308925</v>
      </c>
    </row>
    <row r="26" spans="1:13" ht="12.75">
      <c r="A26" s="974" t="str">
        <f>'Zero Waste Calc'!A23</f>
        <v>Student18</v>
      </c>
      <c r="B26" s="973" t="str">
        <f>'Zero Waste Calc'!B23</f>
        <v>n</v>
      </c>
      <c r="C26" s="965">
        <f>'Zero Waste Log'!K29+'Zero Waste Calc'!K23+'Zero Waste Calc'!X23</f>
        <v>0</v>
      </c>
      <c r="D26" s="972">
        <f>'Zero Waste Calc'!Y23</f>
        <v>0</v>
      </c>
      <c r="E26" s="972">
        <f>'Zero Waste Calc'!Z23</f>
        <v>0</v>
      </c>
      <c r="F26" s="972">
        <f>'Zero Waste Calc'!AA23</f>
        <v>0</v>
      </c>
      <c r="G26" s="971">
        <f>'Zero Waste Calc'!AB23</f>
        <v>0</v>
      </c>
      <c r="H26" s="970">
        <f>'Zero Waste Calc'!AI23</f>
        <v>0</v>
      </c>
      <c r="I26" s="969">
        <f>'Zero Waste Calc'!AJ23</f>
        <v>0</v>
      </c>
      <c r="J26" s="969">
        <f>'Zero Waste Calc'!AK23</f>
        <v>0</v>
      </c>
      <c r="K26" s="969">
        <f>'Zero Waste Calc'!AL23</f>
        <v>0</v>
      </c>
      <c r="L26" s="969">
        <f>'Zero Waste Calc'!AM23</f>
        <v>0</v>
      </c>
      <c r="M26" s="968">
        <f t="shared" si="0"/>
        <v>0</v>
      </c>
    </row>
    <row r="27" spans="1:13" ht="12.75">
      <c r="A27" s="974" t="str">
        <f>'Zero Waste Calc'!A24</f>
        <v>Student19</v>
      </c>
      <c r="B27" s="973" t="str">
        <f>'Zero Waste Calc'!B24</f>
        <v>y</v>
      </c>
      <c r="C27" s="965">
        <f>'Zero Waste Log'!K30+'Zero Waste Calc'!K24+'Zero Waste Calc'!X24</f>
        <v>6.039286580391984</v>
      </c>
      <c r="D27" s="972">
        <f>'Zero Waste Calc'!Y24</f>
        <v>7.170542635658914</v>
      </c>
      <c r="E27" s="972">
        <f>'Zero Waste Calc'!Z24</f>
        <v>23.282532843010124</v>
      </c>
      <c r="F27" s="972">
        <f>'Zero Waste Calc'!AA24</f>
        <v>31.830725898921255</v>
      </c>
      <c r="G27" s="971">
        <f>'Zero Waste Calc'!AB24</f>
        <v>5.135227096722101</v>
      </c>
      <c r="H27" s="970">
        <f>'Zero Waste Calc'!AI24</f>
        <v>1.19270707026169</v>
      </c>
      <c r="I27" s="969">
        <f>'Zero Waste Calc'!AJ24</f>
        <v>4.193798449612403</v>
      </c>
      <c r="J27" s="969">
        <f>'Zero Waste Calc'!AK24</f>
        <v>13.617135424938892</v>
      </c>
      <c r="K27" s="969">
        <f>'Zero Waste Calc'!AL24</f>
        <v>18.616673201423133</v>
      </c>
      <c r="L27" s="969">
        <f>'Zero Waste Calc'!AM24</f>
        <v>3.003413901974764</v>
      </c>
      <c r="M27" s="968">
        <f t="shared" si="0"/>
        <v>0.5848648648648648</v>
      </c>
    </row>
    <row r="28" spans="1:13" ht="12.75">
      <c r="A28" s="974" t="str">
        <f>'Zero Waste Calc'!A25</f>
        <v>Student20</v>
      </c>
      <c r="B28" s="973" t="str">
        <f>'Zero Waste Calc'!B25</f>
        <v>Y</v>
      </c>
      <c r="C28" s="965">
        <f>'Zero Waste Log'!K31+'Zero Waste Calc'!K25+'Zero Waste Calc'!X25</f>
        <v>4.501355849996693</v>
      </c>
      <c r="D28" s="972">
        <f>'Zero Waste Calc'!Y25</f>
        <v>5.27906976744186</v>
      </c>
      <c r="E28" s="972">
        <f>'Zero Waste Calc'!Z25</f>
        <v>17.140978233610696</v>
      </c>
      <c r="F28" s="972">
        <f>'Zero Waste Calc'!AA25</f>
        <v>23.434296580719323</v>
      </c>
      <c r="G28" s="971">
        <f>'Zero Waste Calc'!AB25</f>
        <v>3.7806374625597305</v>
      </c>
      <c r="H28" s="970">
        <f>'Zero Waste Calc'!AI25</f>
        <v>0.654776339866399</v>
      </c>
      <c r="I28" s="969">
        <f>'Zero Waste Calc'!AJ25</f>
        <v>2.3023255813953485</v>
      </c>
      <c r="J28" s="969">
        <f>'Zero Waste Calc'!AK25</f>
        <v>7.475580815539464</v>
      </c>
      <c r="K28" s="969">
        <f>'Zero Waste Calc'!AL25</f>
        <v>10.220243883221203</v>
      </c>
      <c r="L28" s="969">
        <f>'Zero Waste Calc'!AM25</f>
        <v>1.6488242678123934</v>
      </c>
      <c r="M28" s="968">
        <f t="shared" si="0"/>
        <v>0.43612334801762115</v>
      </c>
    </row>
    <row r="29" spans="1:13" ht="12.75">
      <c r="A29" s="974" t="str">
        <f>'Zero Waste Calc'!A26</f>
        <v>Student21</v>
      </c>
      <c r="B29" s="973" t="str">
        <f>'Zero Waste Calc'!B26</f>
        <v>Y</v>
      </c>
      <c r="C29" s="965">
        <f>'Zero Waste Log'!K32+'Zero Waste Calc'!K26+'Zero Waste Calc'!X26</f>
        <v>180.94318657818735</v>
      </c>
      <c r="D29" s="972">
        <f>'Zero Waste Calc'!Y26</f>
        <v>10.348837209302326</v>
      </c>
      <c r="E29" s="972">
        <f>'Zero Waste Calc'!Z26</f>
        <v>33.60235821126326</v>
      </c>
      <c r="F29" s="972">
        <f>'Zero Waste Calc'!AA26</f>
        <v>45.93948008114581</v>
      </c>
      <c r="G29" s="971">
        <f>'Zero Waste Calc'!AB26</f>
        <v>7.411381809863789</v>
      </c>
      <c r="H29" s="970">
        <f>'Zero Waste Calc'!AI26</f>
        <v>2.0966070680570557</v>
      </c>
      <c r="I29" s="969">
        <f>'Zero Waste Calc'!AJ26</f>
        <v>7.372093023255815</v>
      </c>
      <c r="J29" s="969">
        <f>'Zero Waste Calc'!AK26</f>
        <v>23.93696079319203</v>
      </c>
      <c r="K29" s="969">
        <f>'Zero Waste Calc'!AL26</f>
        <v>32.72542738364769</v>
      </c>
      <c r="L29" s="969">
        <f>'Zero Waste Calc'!AM26</f>
        <v>5.279568615116451</v>
      </c>
      <c r="M29" s="968">
        <f t="shared" si="0"/>
        <v>0.7123595505617978</v>
      </c>
    </row>
    <row r="30" spans="1:13" ht="12.75">
      <c r="A30" s="974" t="str">
        <f>'Zero Waste Calc'!A27</f>
        <v>Student22</v>
      </c>
      <c r="B30" s="973" t="str">
        <f>'Zero Waste Calc'!B27</f>
        <v>Y</v>
      </c>
      <c r="C30" s="965">
        <f>'Zero Waste Log'!K33+'Zero Waste Calc'!K27+'Zero Waste Calc'!X27</f>
        <v>180.94318657818735</v>
      </c>
      <c r="D30" s="972">
        <f>'Zero Waste Calc'!Y27</f>
        <v>10.348837209302326</v>
      </c>
      <c r="E30" s="972">
        <f>'Zero Waste Calc'!Z27</f>
        <v>33.60235821126326</v>
      </c>
      <c r="F30" s="972">
        <f>'Zero Waste Calc'!AA27</f>
        <v>45.93948008114581</v>
      </c>
      <c r="G30" s="971">
        <f>'Zero Waste Calc'!AB27</f>
        <v>7.411381809863789</v>
      </c>
      <c r="H30" s="970">
        <f>'Zero Waste Calc'!AI27</f>
        <v>2.0966070680570557</v>
      </c>
      <c r="I30" s="969">
        <f>'Zero Waste Calc'!AJ27</f>
        <v>7.372093023255815</v>
      </c>
      <c r="J30" s="969">
        <f>'Zero Waste Calc'!AK27</f>
        <v>23.93696079319203</v>
      </c>
      <c r="K30" s="969">
        <f>'Zero Waste Calc'!AL27</f>
        <v>32.72542738364769</v>
      </c>
      <c r="L30" s="969">
        <f>'Zero Waste Calc'!AM27</f>
        <v>5.279568615116451</v>
      </c>
      <c r="M30" s="968">
        <f t="shared" si="0"/>
        <v>0.7123595505617978</v>
      </c>
    </row>
    <row r="31" spans="1:13" ht="12.75">
      <c r="A31" s="974" t="str">
        <f>'Zero Waste Calc'!A28</f>
        <v>Student23</v>
      </c>
      <c r="B31" s="973" t="str">
        <f>'Zero Waste Calc'!B28</f>
        <v>Y</v>
      </c>
      <c r="C31" s="965">
        <f>'Zero Waste Log'!K34+'Zero Waste Calc'!K28+'Zero Waste Calc'!X28</f>
        <v>1.963425119601402</v>
      </c>
      <c r="D31" s="972">
        <f>'Zero Waste Calc'!Y28</f>
        <v>3.387596899224806</v>
      </c>
      <c r="E31" s="972">
        <f>'Zero Waste Calc'!Z28</f>
        <v>10.99942362421127</v>
      </c>
      <c r="F31" s="972">
        <f>'Zero Waste Calc'!AA28</f>
        <v>15.037867262517393</v>
      </c>
      <c r="G31" s="971">
        <f>'Zero Waste Calc'!AB28</f>
        <v>2.42604782839736</v>
      </c>
      <c r="H31" s="970">
        <f>'Zero Waste Calc'!AI28</f>
        <v>0.11684560947110822</v>
      </c>
      <c r="I31" s="969">
        <f>'Zero Waste Calc'!AJ28</f>
        <v>0.4108527131782944</v>
      </c>
      <c r="J31" s="969">
        <f>'Zero Waste Calc'!AK28</f>
        <v>1.334026206140038</v>
      </c>
      <c r="K31" s="969">
        <f>'Zero Waste Calc'!AL28</f>
        <v>1.8238145650192727</v>
      </c>
      <c r="L31" s="969">
        <f>'Zero Waste Calc'!AM28</f>
        <v>0.294234633650023</v>
      </c>
      <c r="M31" s="968">
        <f t="shared" si="0"/>
        <v>0.1212814645308925</v>
      </c>
    </row>
    <row r="32" spans="1:13" ht="12.75">
      <c r="A32" s="974" t="str">
        <f>'Zero Waste Calc'!A29</f>
        <v>Student24</v>
      </c>
      <c r="B32" s="973" t="str">
        <f>'Zero Waste Calc'!B29</f>
        <v>n</v>
      </c>
      <c r="C32" s="965">
        <f>'Zero Waste Log'!K35+'Zero Waste Calc'!K29+'Zero Waste Calc'!X29</f>
        <v>0</v>
      </c>
      <c r="D32" s="972">
        <f>'Zero Waste Calc'!Y29</f>
        <v>0</v>
      </c>
      <c r="E32" s="972">
        <f>'Zero Waste Calc'!Z29</f>
        <v>0</v>
      </c>
      <c r="F32" s="972">
        <f>'Zero Waste Calc'!AA29</f>
        <v>0</v>
      </c>
      <c r="G32" s="971">
        <f>'Zero Waste Calc'!AB29</f>
        <v>0</v>
      </c>
      <c r="H32" s="970">
        <f>'Zero Waste Calc'!AI29</f>
        <v>0</v>
      </c>
      <c r="I32" s="969">
        <f>'Zero Waste Calc'!AJ29</f>
        <v>0</v>
      </c>
      <c r="J32" s="969">
        <f>'Zero Waste Calc'!AK29</f>
        <v>0</v>
      </c>
      <c r="K32" s="969">
        <f>'Zero Waste Calc'!AL29</f>
        <v>0</v>
      </c>
      <c r="L32" s="969">
        <f>'Zero Waste Calc'!AM29</f>
        <v>0</v>
      </c>
      <c r="M32" s="968">
        <f t="shared" si="0"/>
        <v>0</v>
      </c>
    </row>
    <row r="33" spans="1:13" ht="12.75">
      <c r="A33" s="974" t="str">
        <f>'Zero Waste Calc'!A30</f>
        <v>Student25</v>
      </c>
      <c r="B33" s="973" t="str">
        <f>'Zero Waste Calc'!B30</f>
        <v>y</v>
      </c>
      <c r="C33" s="965">
        <f>'Zero Waste Log'!K36+'Zero Waste Calc'!K30+'Zero Waste Calc'!X30</f>
        <v>6.039286580391984</v>
      </c>
      <c r="D33" s="972">
        <f>'Zero Waste Calc'!Y30</f>
        <v>7.170542635658914</v>
      </c>
      <c r="E33" s="972">
        <f>'Zero Waste Calc'!Z30</f>
        <v>23.282532843010124</v>
      </c>
      <c r="F33" s="972">
        <f>'Zero Waste Calc'!AA30</f>
        <v>31.830725898921255</v>
      </c>
      <c r="G33" s="971">
        <f>'Zero Waste Calc'!AB30</f>
        <v>5.135227096722101</v>
      </c>
      <c r="H33" s="970">
        <f>'Zero Waste Calc'!AI30</f>
        <v>1.19270707026169</v>
      </c>
      <c r="I33" s="969">
        <f>'Zero Waste Calc'!AJ30</f>
        <v>4.193798449612403</v>
      </c>
      <c r="J33" s="969">
        <f>'Zero Waste Calc'!AK30</f>
        <v>13.617135424938892</v>
      </c>
      <c r="K33" s="969">
        <f>'Zero Waste Calc'!AL30</f>
        <v>18.616673201423133</v>
      </c>
      <c r="L33" s="969">
        <f>'Zero Waste Calc'!AM30</f>
        <v>3.003413901974764</v>
      </c>
      <c r="M33" s="968">
        <f t="shared" si="0"/>
        <v>0.5848648648648648</v>
      </c>
    </row>
    <row r="34" spans="1:13" ht="12.75">
      <c r="A34" s="974" t="str">
        <f>'Zero Waste Calc'!A31</f>
        <v>Student26</v>
      </c>
      <c r="B34" s="973" t="str">
        <f>'Zero Waste Calc'!B31</f>
        <v>n</v>
      </c>
      <c r="C34" s="965">
        <f>'Zero Waste Log'!K37+'Zero Waste Calc'!K31+'Zero Waste Calc'!X31</f>
        <v>0</v>
      </c>
      <c r="D34" s="972">
        <f>'Zero Waste Calc'!Y31</f>
        <v>0</v>
      </c>
      <c r="E34" s="972">
        <f>'Zero Waste Calc'!Z31</f>
        <v>0</v>
      </c>
      <c r="F34" s="972">
        <f>'Zero Waste Calc'!AA31</f>
        <v>0</v>
      </c>
      <c r="G34" s="971">
        <f>'Zero Waste Calc'!AB31</f>
        <v>0</v>
      </c>
      <c r="H34" s="970">
        <f>'Zero Waste Calc'!AI31</f>
        <v>0</v>
      </c>
      <c r="I34" s="969">
        <f>'Zero Waste Calc'!AJ31</f>
        <v>0</v>
      </c>
      <c r="J34" s="969">
        <f>'Zero Waste Calc'!AK31</f>
        <v>0</v>
      </c>
      <c r="K34" s="969">
        <f>'Zero Waste Calc'!AL31</f>
        <v>0</v>
      </c>
      <c r="L34" s="969">
        <f>'Zero Waste Calc'!AM31</f>
        <v>0</v>
      </c>
      <c r="M34" s="968">
        <f t="shared" si="0"/>
        <v>0</v>
      </c>
    </row>
    <row r="35" spans="1:13" ht="12.75">
      <c r="A35" s="974" t="str">
        <f>'Zero Waste Calc'!A32</f>
        <v>Student27</v>
      </c>
      <c r="B35" s="973">
        <f>'Zero Waste Calc'!B32</f>
        <v>0</v>
      </c>
      <c r="C35" s="965">
        <f>'Zero Waste Log'!K38+'Zero Waste Calc'!K32+'Zero Waste Calc'!X32</f>
        <v>0</v>
      </c>
      <c r="D35" s="972">
        <f>'Zero Waste Calc'!Y32</f>
        <v>0</v>
      </c>
      <c r="E35" s="972">
        <f>'Zero Waste Calc'!Z32</f>
        <v>0</v>
      </c>
      <c r="F35" s="972">
        <f>'Zero Waste Calc'!AA32</f>
        <v>0</v>
      </c>
      <c r="G35" s="971">
        <f>'Zero Waste Calc'!AB32</f>
        <v>0</v>
      </c>
      <c r="H35" s="970">
        <f>'Zero Waste Calc'!AI32</f>
        <v>0</v>
      </c>
      <c r="I35" s="969">
        <f>'Zero Waste Calc'!AJ32</f>
        <v>0</v>
      </c>
      <c r="J35" s="969">
        <f>'Zero Waste Calc'!AK32</f>
        <v>0</v>
      </c>
      <c r="K35" s="969">
        <f>'Zero Waste Calc'!AL32</f>
        <v>0</v>
      </c>
      <c r="L35" s="969">
        <f>'Zero Waste Calc'!AM32</f>
        <v>0</v>
      </c>
      <c r="M35" s="968">
        <f t="shared" si="0"/>
        <v>0</v>
      </c>
    </row>
    <row r="36" spans="1:13" ht="12.75">
      <c r="A36" s="974" t="str">
        <f>'Zero Waste Calc'!A33</f>
        <v>Student28</v>
      </c>
      <c r="B36" s="973">
        <f>'Zero Waste Calc'!B33</f>
        <v>0</v>
      </c>
      <c r="C36" s="965">
        <f>'Zero Waste Log'!K39+'Zero Waste Calc'!K33+'Zero Waste Calc'!X33</f>
        <v>0</v>
      </c>
      <c r="D36" s="972">
        <f>'Zero Waste Calc'!Y33</f>
        <v>0</v>
      </c>
      <c r="E36" s="972">
        <f>'Zero Waste Calc'!Z33</f>
        <v>0</v>
      </c>
      <c r="F36" s="972">
        <f>'Zero Waste Calc'!AA33</f>
        <v>0</v>
      </c>
      <c r="G36" s="971">
        <f>'Zero Waste Calc'!AB33</f>
        <v>0</v>
      </c>
      <c r="H36" s="970">
        <f>'Zero Waste Calc'!AI33</f>
        <v>0</v>
      </c>
      <c r="I36" s="969">
        <f>'Zero Waste Calc'!AJ33</f>
        <v>0</v>
      </c>
      <c r="J36" s="969">
        <f>'Zero Waste Calc'!AK33</f>
        <v>0</v>
      </c>
      <c r="K36" s="969">
        <f>'Zero Waste Calc'!AL33</f>
        <v>0</v>
      </c>
      <c r="L36" s="969">
        <f>'Zero Waste Calc'!AM33</f>
        <v>0</v>
      </c>
      <c r="M36" s="968">
        <f t="shared" si="0"/>
        <v>0</v>
      </c>
    </row>
    <row r="37" spans="1:13" ht="12.75">
      <c r="A37" s="974" t="str">
        <f>'Zero Waste Calc'!A34</f>
        <v>Student29</v>
      </c>
      <c r="B37" s="973">
        <f>'Zero Waste Calc'!B34</f>
        <v>0</v>
      </c>
      <c r="C37" s="965">
        <f>'Zero Waste Log'!K40+'Zero Waste Calc'!K34+'Zero Waste Calc'!X34</f>
        <v>0</v>
      </c>
      <c r="D37" s="972">
        <f>'Zero Waste Calc'!Y34</f>
        <v>0</v>
      </c>
      <c r="E37" s="972">
        <f>'Zero Waste Calc'!Z34</f>
        <v>0</v>
      </c>
      <c r="F37" s="972">
        <f>'Zero Waste Calc'!AA34</f>
        <v>0</v>
      </c>
      <c r="G37" s="971">
        <f>'Zero Waste Calc'!AB34</f>
        <v>0</v>
      </c>
      <c r="H37" s="970">
        <f>'Zero Waste Calc'!AI34</f>
        <v>0</v>
      </c>
      <c r="I37" s="969">
        <f>'Zero Waste Calc'!AJ34</f>
        <v>0</v>
      </c>
      <c r="J37" s="969">
        <f>'Zero Waste Calc'!AK34</f>
        <v>0</v>
      </c>
      <c r="K37" s="969">
        <f>'Zero Waste Calc'!AL34</f>
        <v>0</v>
      </c>
      <c r="L37" s="969">
        <f>'Zero Waste Calc'!AM34</f>
        <v>0</v>
      </c>
      <c r="M37" s="968">
        <f t="shared" si="0"/>
        <v>0</v>
      </c>
    </row>
    <row r="38" spans="1:13" ht="12.75">
      <c r="A38" s="974" t="str">
        <f>'Zero Waste Calc'!A35</f>
        <v>Student30</v>
      </c>
      <c r="B38" s="973">
        <f>'Zero Waste Calc'!B35</f>
        <v>0</v>
      </c>
      <c r="C38" s="965">
        <f>'Zero Waste Log'!K41+'Zero Waste Calc'!K35+'Zero Waste Calc'!X35</f>
        <v>0</v>
      </c>
      <c r="D38" s="972">
        <f>'Zero Waste Calc'!Y35</f>
        <v>0</v>
      </c>
      <c r="E38" s="972">
        <f>'Zero Waste Calc'!Z35</f>
        <v>0</v>
      </c>
      <c r="F38" s="972">
        <f>'Zero Waste Calc'!AA35</f>
        <v>0</v>
      </c>
      <c r="G38" s="971">
        <f>'Zero Waste Calc'!AB35</f>
        <v>0</v>
      </c>
      <c r="H38" s="970">
        <f>'Zero Waste Calc'!AI35</f>
        <v>0</v>
      </c>
      <c r="I38" s="969">
        <f>'Zero Waste Calc'!AJ35</f>
        <v>0</v>
      </c>
      <c r="J38" s="969">
        <f>'Zero Waste Calc'!AK35</f>
        <v>0</v>
      </c>
      <c r="K38" s="969">
        <f>'Zero Waste Calc'!AL35</f>
        <v>0</v>
      </c>
      <c r="L38" s="969">
        <f>'Zero Waste Calc'!AM35</f>
        <v>0</v>
      </c>
      <c r="M38" s="968">
        <f t="shared" si="0"/>
        <v>0</v>
      </c>
    </row>
    <row r="39" spans="1:13" ht="12.75">
      <c r="A39" s="974" t="str">
        <f>'Zero Waste Calc'!A36</f>
        <v>Student31</v>
      </c>
      <c r="B39" s="973">
        <f>'Zero Waste Calc'!B36</f>
        <v>0</v>
      </c>
      <c r="C39" s="965">
        <f>'Zero Waste Log'!K42+'Zero Waste Calc'!K36+'Zero Waste Calc'!X36</f>
        <v>0</v>
      </c>
      <c r="D39" s="972">
        <f>'Zero Waste Calc'!Y36</f>
        <v>0</v>
      </c>
      <c r="E39" s="972">
        <f>'Zero Waste Calc'!Z36</f>
        <v>0</v>
      </c>
      <c r="F39" s="972">
        <f>'Zero Waste Calc'!AA36</f>
        <v>0</v>
      </c>
      <c r="G39" s="971">
        <f>'Zero Waste Calc'!AB36</f>
        <v>0</v>
      </c>
      <c r="H39" s="970">
        <f>'Zero Waste Calc'!AI36</f>
        <v>0</v>
      </c>
      <c r="I39" s="969">
        <f>'Zero Waste Calc'!AJ36</f>
        <v>0</v>
      </c>
      <c r="J39" s="969">
        <f>'Zero Waste Calc'!AK36</f>
        <v>0</v>
      </c>
      <c r="K39" s="969">
        <f>'Zero Waste Calc'!AL36</f>
        <v>0</v>
      </c>
      <c r="L39" s="969">
        <f>'Zero Waste Calc'!AM36</f>
        <v>0</v>
      </c>
      <c r="M39" s="968">
        <f t="shared" si="0"/>
        <v>0</v>
      </c>
    </row>
    <row r="40" spans="1:13" ht="12.75">
      <c r="A40" s="974" t="str">
        <f>'Zero Waste Calc'!A37</f>
        <v>Student32</v>
      </c>
      <c r="B40" s="973">
        <f>'Zero Waste Calc'!B37</f>
        <v>0</v>
      </c>
      <c r="C40" s="965">
        <f>'Zero Waste Log'!K43+'Zero Waste Calc'!K37+'Zero Waste Calc'!X37</f>
        <v>0</v>
      </c>
      <c r="D40" s="972">
        <f>'Zero Waste Calc'!Y37</f>
        <v>0</v>
      </c>
      <c r="E40" s="972">
        <f>'Zero Waste Calc'!Z37</f>
        <v>0</v>
      </c>
      <c r="F40" s="972">
        <f>'Zero Waste Calc'!AA37</f>
        <v>0</v>
      </c>
      <c r="G40" s="971">
        <f>'Zero Waste Calc'!AB37</f>
        <v>0</v>
      </c>
      <c r="H40" s="970">
        <f>'Zero Waste Calc'!AI37</f>
        <v>0</v>
      </c>
      <c r="I40" s="969">
        <f>'Zero Waste Calc'!AJ37</f>
        <v>0</v>
      </c>
      <c r="J40" s="969">
        <f>'Zero Waste Calc'!AK37</f>
        <v>0</v>
      </c>
      <c r="K40" s="969">
        <f>'Zero Waste Calc'!AL37</f>
        <v>0</v>
      </c>
      <c r="L40" s="969">
        <f>'Zero Waste Calc'!AM37</f>
        <v>0</v>
      </c>
      <c r="M40" s="968">
        <f t="shared" si="0"/>
        <v>0</v>
      </c>
    </row>
    <row r="41" spans="1:13" ht="12.75">
      <c r="A41" s="974" t="str">
        <f>'Zero Waste Calc'!A38</f>
        <v>Student33</v>
      </c>
      <c r="B41" s="973">
        <f>'Zero Waste Calc'!B38</f>
        <v>0</v>
      </c>
      <c r="C41" s="965">
        <f>'Zero Waste Log'!K44+'Zero Waste Calc'!K38+'Zero Waste Calc'!X38</f>
        <v>0</v>
      </c>
      <c r="D41" s="972">
        <f>'Zero Waste Calc'!Y38</f>
        <v>0</v>
      </c>
      <c r="E41" s="972">
        <f>'Zero Waste Calc'!Z38</f>
        <v>0</v>
      </c>
      <c r="F41" s="972">
        <f>'Zero Waste Calc'!AA38</f>
        <v>0</v>
      </c>
      <c r="G41" s="971">
        <f>'Zero Waste Calc'!AB38</f>
        <v>0</v>
      </c>
      <c r="H41" s="970">
        <f>'Zero Waste Calc'!AI38</f>
        <v>0</v>
      </c>
      <c r="I41" s="969">
        <f>'Zero Waste Calc'!AJ38</f>
        <v>0</v>
      </c>
      <c r="J41" s="969">
        <f>'Zero Waste Calc'!AK38</f>
        <v>0</v>
      </c>
      <c r="K41" s="969">
        <f>'Zero Waste Calc'!AL38</f>
        <v>0</v>
      </c>
      <c r="L41" s="969">
        <f>'Zero Waste Calc'!AM38</f>
        <v>0</v>
      </c>
      <c r="M41" s="968">
        <f t="shared" si="0"/>
        <v>0</v>
      </c>
    </row>
    <row r="42" spans="1:13" ht="12.75">
      <c r="A42" s="974" t="str">
        <f>'Zero Waste Calc'!A39</f>
        <v>Student34</v>
      </c>
      <c r="B42" s="973">
        <f>'Zero Waste Calc'!B39</f>
        <v>0</v>
      </c>
      <c r="C42" s="965">
        <f>'Zero Waste Log'!K45+'Zero Waste Calc'!K39+'Zero Waste Calc'!X39</f>
        <v>0</v>
      </c>
      <c r="D42" s="972">
        <f>'Zero Waste Calc'!Y39</f>
        <v>0</v>
      </c>
      <c r="E42" s="972">
        <f>'Zero Waste Calc'!Z39</f>
        <v>0</v>
      </c>
      <c r="F42" s="972">
        <f>'Zero Waste Calc'!AA39</f>
        <v>0</v>
      </c>
      <c r="G42" s="971">
        <f>'Zero Waste Calc'!AB39</f>
        <v>0</v>
      </c>
      <c r="H42" s="970">
        <f>'Zero Waste Calc'!AI39</f>
        <v>0</v>
      </c>
      <c r="I42" s="969">
        <f>'Zero Waste Calc'!AJ39</f>
        <v>0</v>
      </c>
      <c r="J42" s="969">
        <f>'Zero Waste Calc'!AK39</f>
        <v>0</v>
      </c>
      <c r="K42" s="969">
        <f>'Zero Waste Calc'!AL39</f>
        <v>0</v>
      </c>
      <c r="L42" s="969">
        <f>'Zero Waste Calc'!AM39</f>
        <v>0</v>
      </c>
      <c r="M42" s="968">
        <f t="shared" si="0"/>
        <v>0</v>
      </c>
    </row>
    <row r="43" spans="1:13" ht="12.75">
      <c r="A43" s="974" t="str">
        <f>'Zero Waste Calc'!A40</f>
        <v>Student35</v>
      </c>
      <c r="B43" s="973">
        <f>'Zero Waste Calc'!B40</f>
        <v>0</v>
      </c>
      <c r="C43" s="965">
        <f>'Zero Waste Log'!K46+'Zero Waste Calc'!K40+'Zero Waste Calc'!X40</f>
        <v>0</v>
      </c>
      <c r="D43" s="972">
        <f>'Zero Waste Calc'!Y40</f>
        <v>0</v>
      </c>
      <c r="E43" s="972">
        <f>'Zero Waste Calc'!Z40</f>
        <v>0</v>
      </c>
      <c r="F43" s="972">
        <f>'Zero Waste Calc'!AA40</f>
        <v>0</v>
      </c>
      <c r="G43" s="971">
        <f>'Zero Waste Calc'!AB40</f>
        <v>0</v>
      </c>
      <c r="H43" s="970">
        <f>'Zero Waste Calc'!AI40</f>
        <v>0</v>
      </c>
      <c r="I43" s="969">
        <f>'Zero Waste Calc'!AJ40</f>
        <v>0</v>
      </c>
      <c r="J43" s="969">
        <f>'Zero Waste Calc'!AK40</f>
        <v>0</v>
      </c>
      <c r="K43" s="969">
        <f>'Zero Waste Calc'!AL40</f>
        <v>0</v>
      </c>
      <c r="L43" s="969">
        <f>'Zero Waste Calc'!AM40</f>
        <v>0</v>
      </c>
      <c r="M43" s="968">
        <f t="shared" si="0"/>
        <v>0</v>
      </c>
    </row>
    <row r="44" spans="1:13" ht="12.75">
      <c r="A44" s="967" t="str">
        <f>'Zero Waste Calc'!A41</f>
        <v>Student36</v>
      </c>
      <c r="B44" s="966">
        <f>'Zero Waste Calc'!B41</f>
        <v>0</v>
      </c>
      <c r="C44" s="1134">
        <f>'Zero Waste Log'!K47+'Zero Waste Calc'!K41+'Zero Waste Calc'!X41</f>
        <v>0</v>
      </c>
      <c r="D44" s="964">
        <f>'Zero Waste Calc'!Y41</f>
        <v>0</v>
      </c>
      <c r="E44" s="964">
        <f>'Zero Waste Calc'!Z41</f>
        <v>0</v>
      </c>
      <c r="F44" s="964">
        <f>'Zero Waste Calc'!AA41</f>
        <v>0</v>
      </c>
      <c r="G44" s="963">
        <f>'Zero Waste Calc'!AB41</f>
        <v>0</v>
      </c>
      <c r="H44" s="962">
        <f>'Zero Waste Calc'!AI41</f>
        <v>0</v>
      </c>
      <c r="I44" s="961">
        <f>'Zero Waste Calc'!AJ41</f>
        <v>0</v>
      </c>
      <c r="J44" s="961">
        <f>'Zero Waste Calc'!AK41</f>
        <v>0</v>
      </c>
      <c r="K44" s="961">
        <f>'Zero Waste Calc'!AL41</f>
        <v>0</v>
      </c>
      <c r="L44" s="961">
        <f>'Zero Waste Calc'!AM41</f>
        <v>0</v>
      </c>
      <c r="M44" s="960">
        <f t="shared" si="0"/>
        <v>0</v>
      </c>
    </row>
    <row r="45" spans="1:13" ht="12.75">
      <c r="A45" s="876">
        <f>COUNTA(A9:A44)-COUNT(A9:A44)</f>
        <v>36</v>
      </c>
      <c r="B45" s="876" t="s">
        <v>336</v>
      </c>
      <c r="C45" s="877"/>
      <c r="D45" s="877"/>
      <c r="E45" s="877"/>
      <c r="F45" s="877"/>
      <c r="G45" s="877"/>
      <c r="H45" s="877"/>
      <c r="I45" s="877"/>
      <c r="J45" s="877"/>
      <c r="K45" s="877"/>
      <c r="L45" s="877"/>
      <c r="M45" s="1133"/>
    </row>
    <row r="46" spans="1:12" s="323" customFormat="1" ht="30.75" customHeight="1">
      <c r="A46" s="876"/>
      <c r="B46" s="876"/>
      <c r="C46" s="877"/>
      <c r="E46" s="1330"/>
      <c r="F46" s="1331"/>
      <c r="G46" s="1331"/>
      <c r="H46" s="1347"/>
      <c r="I46" s="1347"/>
      <c r="J46" s="1347"/>
      <c r="K46" s="1347"/>
      <c r="L46" s="1347"/>
    </row>
    <row r="47" spans="1:12" s="311" customFormat="1" ht="30.75" customHeight="1">
      <c r="A47" s="876"/>
      <c r="B47" s="1344" t="s">
        <v>984</v>
      </c>
      <c r="C47" s="1345"/>
      <c r="D47" s="1345"/>
      <c r="E47" s="1345"/>
      <c r="F47" s="1345"/>
      <c r="G47" s="1345"/>
      <c r="H47" s="1346"/>
      <c r="I47" s="958"/>
      <c r="J47" s="958"/>
      <c r="K47" s="958"/>
      <c r="L47" s="958"/>
    </row>
    <row r="48" spans="1:13" ht="63.75">
      <c r="A48" s="308"/>
      <c r="B48" s="954" t="s">
        <v>960</v>
      </c>
      <c r="C48" s="957" t="s">
        <v>959</v>
      </c>
      <c r="D48" s="953" t="s">
        <v>493</v>
      </c>
      <c r="E48" s="953" t="s">
        <v>958</v>
      </c>
      <c r="F48" s="953" t="s">
        <v>494</v>
      </c>
      <c r="G48" s="956" t="s">
        <v>957</v>
      </c>
      <c r="H48" s="955" t="s">
        <v>956</v>
      </c>
      <c r="I48" s="169"/>
      <c r="J48" s="169"/>
      <c r="K48" s="169"/>
      <c r="L48" s="169"/>
      <c r="M48" s="169"/>
    </row>
    <row r="49" spans="1:13" ht="12.75">
      <c r="A49" s="941" t="s">
        <v>955</v>
      </c>
      <c r="B49" s="952">
        <f>'Zero Waste Calc'!X44</f>
        <v>44.56667915959348</v>
      </c>
      <c r="C49" s="952">
        <f>'Zero Waste Calc'!Y44</f>
        <v>13.058785529715761</v>
      </c>
      <c r="D49" s="952">
        <f>'Zero Waste Calc'!Z44</f>
        <v>508.8177312664321</v>
      </c>
      <c r="E49" s="952">
        <f>'Zero Waste Calc'!AA44</f>
        <v>695.6304043748033</v>
      </c>
      <c r="F49" s="952">
        <f>'Zero Waste Calc'!AB44</f>
        <v>112.22553055160785</v>
      </c>
      <c r="G49" s="951">
        <f>'Zero Waste Calc'!AC44</f>
        <v>0.042450825046465676</v>
      </c>
      <c r="H49" s="950">
        <f>'Zero Waste Calc'!AD44</f>
        <v>0.06817177962873072</v>
      </c>
      <c r="I49" s="169"/>
      <c r="J49" s="169"/>
      <c r="K49" s="169"/>
      <c r="L49" s="169"/>
      <c r="M49" s="169"/>
    </row>
    <row r="50" spans="1:13" ht="12.75">
      <c r="A50" s="941" t="s">
        <v>953</v>
      </c>
      <c r="B50" s="952">
        <f>'Zero Waste Calc'!X45</f>
        <v>495.1853239954831</v>
      </c>
      <c r="C50" s="952">
        <f>'Zero Waste Calc'!Y45</f>
        <v>145.0976169968418</v>
      </c>
      <c r="D50" s="952">
        <f>'Zero Waste Calc'!Z45</f>
        <v>5653.5303474048005</v>
      </c>
      <c r="E50" s="952">
        <f>'Zero Waste Calc'!AA45</f>
        <v>7729.226715275592</v>
      </c>
      <c r="F50" s="952">
        <f>'Zero Waste Calc'!AB45</f>
        <v>1246.9503394623096</v>
      </c>
      <c r="G50" s="951">
        <f>'Zero Waste Calc'!AC45</f>
        <v>0.4716758338496186</v>
      </c>
      <c r="H50" s="950">
        <f>'Zero Waste Calc'!AD45</f>
        <v>0.757464218097008</v>
      </c>
      <c r="I50" s="169"/>
      <c r="J50" s="169"/>
      <c r="K50" s="169"/>
      <c r="L50" s="169"/>
      <c r="M50" s="169"/>
    </row>
    <row r="51" spans="1:13" ht="12.75">
      <c r="A51" s="937" t="s">
        <v>952</v>
      </c>
      <c r="B51" s="948">
        <f>'Zero Waste Calc'!X46</f>
        <v>151306.6267763976</v>
      </c>
      <c r="C51" s="948">
        <f>'Zero Waste Calc'!Y46</f>
        <v>44335.38297125721</v>
      </c>
      <c r="D51" s="948">
        <f>'Zero Waste Calc'!Z46</f>
        <v>1727467.606151467</v>
      </c>
      <c r="E51" s="948">
        <f>'Zero Waste Calc'!AA46</f>
        <v>2361708.1630008756</v>
      </c>
      <c r="F51" s="948">
        <f>'Zero Waste Calc'!AB46</f>
        <v>381012.6037245946</v>
      </c>
      <c r="G51" s="947">
        <f>'Zero Waste Calc'!AC46</f>
        <v>144.12317145405015</v>
      </c>
      <c r="H51" s="946">
        <f>'Zero Waste Calc'!AD46</f>
        <v>231.4473999740858</v>
      </c>
      <c r="I51" s="169"/>
      <c r="J51" s="169"/>
      <c r="K51" s="169"/>
      <c r="L51" s="169"/>
      <c r="M51" s="169"/>
    </row>
    <row r="52" spans="1:13" s="311" customFormat="1" ht="12.75">
      <c r="A52" s="945"/>
      <c r="B52" s="931"/>
      <c r="C52" s="931"/>
      <c r="D52" s="931"/>
      <c r="E52" s="931"/>
      <c r="F52" s="931"/>
      <c r="G52" s="869"/>
      <c r="H52" s="869"/>
      <c r="I52" s="309"/>
      <c r="J52" s="309"/>
      <c r="K52" s="309"/>
      <c r="L52" s="309"/>
      <c r="M52" s="309"/>
    </row>
    <row r="53" spans="1:8" ht="33" customHeight="1">
      <c r="A53" s="323"/>
      <c r="B53" s="1340" t="s">
        <v>977</v>
      </c>
      <c r="C53" s="1341"/>
      <c r="D53" s="1341"/>
      <c r="E53" s="1341"/>
      <c r="F53" s="1341"/>
      <c r="G53" s="1342"/>
      <c r="H53" s="1343"/>
    </row>
    <row r="54" spans="1:8" ht="63.75">
      <c r="A54" s="308"/>
      <c r="B54" s="944" t="s">
        <v>960</v>
      </c>
      <c r="C54" s="872" t="s">
        <v>959</v>
      </c>
      <c r="D54" s="944" t="s">
        <v>493</v>
      </c>
      <c r="E54" s="944" t="s">
        <v>958</v>
      </c>
      <c r="F54" s="944" t="s">
        <v>494</v>
      </c>
      <c r="G54" s="943" t="s">
        <v>957</v>
      </c>
      <c r="H54" s="942" t="s">
        <v>976</v>
      </c>
    </row>
    <row r="55" spans="1:8" ht="12.75">
      <c r="A55" s="941" t="s">
        <v>955</v>
      </c>
      <c r="B55" s="940">
        <f>'Zero Waste Calc'!AI44</f>
        <v>26.788509446857287</v>
      </c>
      <c r="C55" s="940">
        <f>'Zero Waste Calc'!AJ44</f>
        <v>7.849483204134368</v>
      </c>
      <c r="D55" s="940">
        <f>'Zero Waste Calc'!AK44</f>
        <v>305.84438548693623</v>
      </c>
      <c r="E55" s="940">
        <f>'Zero Waste Calc'!AL44</f>
        <v>418.13529772734285</v>
      </c>
      <c r="F55" s="940">
        <f>'Zero Waste Calc'!AM44</f>
        <v>67.45745346191379</v>
      </c>
      <c r="G55" s="939">
        <f>'Zero Waste Calc'!AN44</f>
        <v>0.025516694293326956</v>
      </c>
      <c r="H55" s="938">
        <f>'Zero Waste Calc'!AO44</f>
        <v>0.0409772591772796</v>
      </c>
    </row>
    <row r="56" spans="1:8" ht="12.75">
      <c r="A56" s="941" t="s">
        <v>953</v>
      </c>
      <c r="B56" s="940">
        <f>'Zero Waste Calc'!AI45</f>
        <v>297.65010496508097</v>
      </c>
      <c r="C56" s="940">
        <f>'Zero Waste Calc'!AJ45</f>
        <v>87.21648004593743</v>
      </c>
      <c r="D56" s="940">
        <f>'Zero Waste Calc'!AK45</f>
        <v>3398.2709498548475</v>
      </c>
      <c r="E56" s="940">
        <f>'Zero Waste Calc'!AL45</f>
        <v>4645.947752526032</v>
      </c>
      <c r="F56" s="940">
        <f>'Zero Waste Calc'!AM45</f>
        <v>749.527260687931</v>
      </c>
      <c r="G56" s="939">
        <f>'Zero Waste Calc'!AN45</f>
        <v>0.28351882548141066</v>
      </c>
      <c r="H56" s="938">
        <f>'Zero Waste Calc'!AO45</f>
        <v>0.4553028797475512</v>
      </c>
    </row>
    <row r="57" spans="1:8" ht="12.75">
      <c r="A57" s="937" t="s">
        <v>952</v>
      </c>
      <c r="B57" s="936">
        <f>'Zero Waste Calc'!AI46</f>
        <v>90948.64318377475</v>
      </c>
      <c r="C57" s="936">
        <f>'Zero Waste Calc'!AJ46</f>
        <v>26649.48001403644</v>
      </c>
      <c r="D57" s="936">
        <f>'Zero Waste Calc'!AK46</f>
        <v>1038360.5680112033</v>
      </c>
      <c r="E57" s="936">
        <f>'Zero Waste Calc'!AL46</f>
        <v>1419595.1466051762</v>
      </c>
      <c r="F57" s="936">
        <f>'Zero Waste Calc'!AM46</f>
        <v>229022.21854353446</v>
      </c>
      <c r="G57" s="935">
        <f>'Zero Waste Calc'!AN46</f>
        <v>86.63075223043103</v>
      </c>
      <c r="H57" s="934">
        <f>'Zero Waste Calc'!AO46</f>
        <v>139.12032436730726</v>
      </c>
    </row>
    <row r="58" spans="1:13" ht="12.75">
      <c r="A58" s="933"/>
      <c r="B58" s="931"/>
      <c r="C58" s="931"/>
      <c r="D58" s="931"/>
      <c r="E58" s="931"/>
      <c r="F58" s="931"/>
      <c r="G58" s="869"/>
      <c r="H58" s="869"/>
      <c r="I58" s="169"/>
      <c r="J58" s="169"/>
      <c r="K58" s="169"/>
      <c r="L58" s="169"/>
      <c r="M58" s="169"/>
    </row>
    <row r="59" spans="1:13" ht="12.75">
      <c r="A59" s="933"/>
      <c r="B59" s="931"/>
      <c r="C59" s="931"/>
      <c r="D59" s="931"/>
      <c r="E59" s="931"/>
      <c r="F59" s="931"/>
      <c r="G59" s="869"/>
      <c r="H59" s="869"/>
      <c r="I59" s="169"/>
      <c r="J59" s="169"/>
      <c r="K59" s="169"/>
      <c r="L59" s="169"/>
      <c r="M59" s="169"/>
    </row>
    <row r="60" spans="1:13" ht="12.75">
      <c r="A60" s="932" t="s">
        <v>975</v>
      </c>
      <c r="B60" s="931"/>
      <c r="C60" s="931"/>
      <c r="D60" s="931"/>
      <c r="E60" s="931"/>
      <c r="F60" s="931"/>
      <c r="G60" s="869"/>
      <c r="H60" s="869"/>
      <c r="I60" s="169"/>
      <c r="J60" s="169"/>
      <c r="K60" s="169"/>
      <c r="L60" s="169"/>
      <c r="M60" s="169"/>
    </row>
    <row r="61" spans="1:13" ht="12.75">
      <c r="A61" s="932" t="s">
        <v>974</v>
      </c>
      <c r="B61" s="931"/>
      <c r="C61" s="931"/>
      <c r="D61" s="931"/>
      <c r="E61" s="931"/>
      <c r="F61" s="931"/>
      <c r="G61" s="869"/>
      <c r="H61" s="869"/>
      <c r="I61" s="169"/>
      <c r="J61" s="169"/>
      <c r="K61" s="169"/>
      <c r="L61" s="169"/>
      <c r="M61" s="169"/>
    </row>
    <row r="62" spans="2:8" ht="12.75">
      <c r="B62" s="930"/>
      <c r="C62" s="929"/>
      <c r="D62" s="929"/>
      <c r="E62" s="929"/>
      <c r="F62" s="929"/>
      <c r="G62" s="929"/>
      <c r="H62" s="929"/>
    </row>
    <row r="90" spans="1:5" ht="12.75">
      <c r="A90" s="311"/>
      <c r="B90" s="311"/>
      <c r="C90" s="311"/>
      <c r="D90" s="311"/>
      <c r="E90" s="311"/>
    </row>
    <row r="91" spans="2:5" ht="63.75">
      <c r="B91" s="954" t="s">
        <v>983</v>
      </c>
      <c r="C91" s="299" t="s">
        <v>982</v>
      </c>
      <c r="D91" s="953" t="s">
        <v>981</v>
      </c>
      <c r="E91" s="299" t="s">
        <v>980</v>
      </c>
    </row>
    <row r="92" spans="1:4" ht="25.5">
      <c r="A92" s="299" t="s">
        <v>979</v>
      </c>
      <c r="B92" s="949">
        <f>B49</f>
        <v>44.56667915959348</v>
      </c>
      <c r="D92" s="949">
        <f>E49</f>
        <v>695.6304043748033</v>
      </c>
    </row>
    <row r="93" spans="1:5" ht="12.75">
      <c r="A93" s="299" t="s">
        <v>978</v>
      </c>
      <c r="B93" s="949">
        <f>B92-C93</f>
        <v>17.77816971273619</v>
      </c>
      <c r="C93" s="949">
        <f>B55</f>
        <v>26.788509446857287</v>
      </c>
      <c r="D93" s="949">
        <f>D92-E93</f>
        <v>277.4951066474605</v>
      </c>
      <c r="E93" s="949">
        <f>E55</f>
        <v>418.13529772734285</v>
      </c>
    </row>
  </sheetData>
  <sheetProtection/>
  <mergeCells count="6">
    <mergeCell ref="H7:M7"/>
    <mergeCell ref="C7:G7"/>
    <mergeCell ref="B53:H53"/>
    <mergeCell ref="B47:H47"/>
    <mergeCell ref="E46:G46"/>
    <mergeCell ref="H46:L46"/>
  </mergeCells>
  <conditionalFormatting sqref="A9:M44">
    <cfRule type="cellIs" priority="1" dxfId="0" operator="equal" stopIfTrue="1">
      <formula>$B$14</formula>
    </cfRule>
  </conditionalFormatting>
  <printOptions headings="1"/>
  <pageMargins left="0.51" right="0.5" top="1" bottom="1" header="0.5" footer="0.5"/>
  <pageSetup fitToHeight="1" fitToWidth="1" orientation="portrait" paperSize="3" scale="73" r:id="rId2"/>
  <drawing r:id="rId1"/>
</worksheet>
</file>

<file path=xl/worksheets/sheet21.xml><?xml version="1.0" encoding="utf-8"?>
<worksheet xmlns="http://schemas.openxmlformats.org/spreadsheetml/2006/main" xmlns:r="http://schemas.openxmlformats.org/officeDocument/2006/relationships">
  <sheetPr codeName="Sheet39">
    <tabColor rgb="FFE70909"/>
    <pageSetUpPr fitToPage="1"/>
  </sheetPr>
  <dimension ref="A1:G24"/>
  <sheetViews>
    <sheetView zoomScalePageLayoutView="0" workbookViewId="0" topLeftCell="A1">
      <selection activeCell="A2" sqref="A2"/>
    </sheetView>
  </sheetViews>
  <sheetFormatPr defaultColWidth="11.421875" defaultRowHeight="12.75"/>
  <cols>
    <col min="1" max="1" width="35.8515625" style="169" customWidth="1"/>
    <col min="2" max="6" width="16.140625" style="169" customWidth="1"/>
    <col min="7" max="9" width="12.140625" style="169" customWidth="1"/>
    <col min="10" max="16384" width="11.421875" style="169" customWidth="1"/>
  </cols>
  <sheetData>
    <row r="1" ht="15.75">
      <c r="A1" s="1213" t="s">
        <v>1008</v>
      </c>
    </row>
    <row r="2" ht="12.75">
      <c r="A2" s="400" t="s">
        <v>916</v>
      </c>
    </row>
    <row r="3" spans="1:5" ht="28.5" customHeight="1">
      <c r="A3" s="1348" t="s">
        <v>1007</v>
      </c>
      <c r="B3" s="1348"/>
      <c r="C3" s="1348"/>
      <c r="D3" s="1348"/>
      <c r="E3" s="1348"/>
    </row>
    <row r="4" spans="2:5" ht="15" customHeight="1">
      <c r="B4" s="703"/>
      <c r="C4" s="703"/>
      <c r="D4" s="703"/>
      <c r="E4" s="703"/>
    </row>
    <row r="5" spans="1:4" ht="12.75">
      <c r="A5" s="1112" t="s">
        <v>323</v>
      </c>
      <c r="C5" s="1138">
        <f>'Basic School Info'!B9</f>
        <v>30</v>
      </c>
      <c r="D5" s="169" t="s">
        <v>343</v>
      </c>
    </row>
    <row r="6" ht="12.75">
      <c r="A6" s="1111" t="s">
        <v>325</v>
      </c>
    </row>
    <row r="7" spans="1:5" ht="26.25" customHeight="1">
      <c r="A7" s="1348" t="s">
        <v>1006</v>
      </c>
      <c r="B7" s="1348"/>
      <c r="C7" s="1348"/>
      <c r="D7" s="1348"/>
      <c r="E7" s="1019" t="s">
        <v>803</v>
      </c>
    </row>
    <row r="8" spans="1:5" ht="27.75" customHeight="1">
      <c r="A8" s="1348" t="s">
        <v>1005</v>
      </c>
      <c r="B8" s="1348"/>
      <c r="C8" s="1348"/>
      <c r="D8" s="1348"/>
      <c r="E8" s="1018" t="s">
        <v>1004</v>
      </c>
    </row>
    <row r="9" spans="1:5" ht="29.25" customHeight="1">
      <c r="A9" s="1348" t="s">
        <v>1003</v>
      </c>
      <c r="B9" s="1348"/>
      <c r="C9" s="1348"/>
      <c r="D9" s="1348"/>
      <c r="E9" s="1017" t="s">
        <v>938</v>
      </c>
    </row>
    <row r="11" spans="1:5" ht="36" customHeight="1">
      <c r="A11" s="1016" t="s">
        <v>1002</v>
      </c>
      <c r="B11" s="1355" t="s">
        <v>1001</v>
      </c>
      <c r="C11" s="1356"/>
      <c r="D11" s="1356"/>
      <c r="E11" s="1356"/>
    </row>
    <row r="12" spans="1:7" ht="38.25">
      <c r="A12" s="1015"/>
      <c r="B12" s="1014" t="s">
        <v>1000</v>
      </c>
      <c r="C12" s="1014" t="s">
        <v>493</v>
      </c>
      <c r="D12" s="1014" t="s">
        <v>613</v>
      </c>
      <c r="E12" s="1013" t="s">
        <v>494</v>
      </c>
      <c r="F12" s="1012" t="s">
        <v>999</v>
      </c>
      <c r="G12" s="1012" t="s">
        <v>998</v>
      </c>
    </row>
    <row r="13" spans="1:7" ht="12.75">
      <c r="A13" s="1006" t="s">
        <v>997</v>
      </c>
      <c r="B13" s="1005">
        <f>VLOOKUP($E$7,Conversions!$A$315:$C$336,3,FALSE)*$C$5/16</f>
        <v>1.18125</v>
      </c>
      <c r="C13" s="1005">
        <f>$C$5*VLOOKUP($E7,Conversions!$A$315:$G$336,5,FALSE)</f>
        <v>14.652883670809945</v>
      </c>
      <c r="D13" s="1005">
        <f>$C$5*VLOOKUP($E7,Conversions!$A$315:$G$336,6,FALSE)</f>
        <v>20.027855155813956</v>
      </c>
      <c r="E13" s="1004">
        <f>$C$5*VLOOKUP($E7,Conversions!$A$315:$G$336,7,FALSE)</f>
        <v>19.08008166969147</v>
      </c>
      <c r="F13" s="1350"/>
      <c r="G13" s="366">
        <f>$C$5*VLOOKUP($E7,Conversions!$A$315:$G$336,2,FALSE)</f>
        <v>5.1000000000000005</v>
      </c>
    </row>
    <row r="14" spans="1:7" ht="12.75">
      <c r="A14" s="631" t="s">
        <v>996</v>
      </c>
      <c r="B14" s="630">
        <f>VLOOKUP($E$8,Conversions!$A$315:$C$336,3,FALSE)*$C$5/16</f>
        <v>0.61875</v>
      </c>
      <c r="C14" s="630">
        <f>$C$5*VLOOKUP($E8,Conversions!$A$315:$G$336,5,FALSE)</f>
        <v>7.2746851418473595</v>
      </c>
      <c r="D14" s="630">
        <f>$C$5*VLOOKUP($E8,Conversions!$A$315:$G$336,6,FALSE)</f>
        <v>9.944715935837952</v>
      </c>
      <c r="E14" s="1003">
        <f>$C$5*VLOOKUP($E8,Conversions!$A$315:$G$336,7,FALSE)</f>
        <v>4.632202813067151</v>
      </c>
      <c r="F14" s="1351"/>
      <c r="G14" s="361">
        <f>$C$5*VLOOKUP($E8,Conversions!$A$315:$G$336,2,FALSE)</f>
        <v>0.75</v>
      </c>
    </row>
    <row r="15" spans="1:7" ht="12.75">
      <c r="A15" s="1002" t="s">
        <v>995</v>
      </c>
      <c r="B15" s="1001">
        <f>VLOOKUP($E$9,Conversions!$A$315:$C$336,3,FALSE)*$C$5/16</f>
        <v>0.7875</v>
      </c>
      <c r="C15" s="1001">
        <f>$C$5*VLOOKUP($E9,Conversions!$A$315:$G$336,5,FALSE)</f>
        <v>9.768589113873297</v>
      </c>
      <c r="D15" s="1001">
        <f>$C$5*VLOOKUP($E9,Conversions!$A$315:$G$336,6,FALSE)</f>
        <v>13.351903437209305</v>
      </c>
      <c r="E15" s="1011">
        <f>$C$5*VLOOKUP($E9,Conversions!$A$315:$G$336,7,FALSE)</f>
        <v>12.720054446460978</v>
      </c>
      <c r="F15" s="1351"/>
      <c r="G15" s="372">
        <f>$C$5*VLOOKUP($E9,Conversions!$A$315:$G$336,2,FALSE)</f>
        <v>3.69</v>
      </c>
    </row>
    <row r="16" spans="1:7" ht="12.75">
      <c r="A16" s="1010" t="s">
        <v>307</v>
      </c>
      <c r="B16" s="1009">
        <f>SUM(B13:B15)</f>
        <v>2.5875</v>
      </c>
      <c r="C16" s="1009">
        <f>SUM(C13:C15)</f>
        <v>31.696157926530603</v>
      </c>
      <c r="D16" s="1009">
        <f>SUM(D13:D15)</f>
        <v>43.32447452886122</v>
      </c>
      <c r="E16" s="1008">
        <f>SUM(E13:E15)</f>
        <v>36.4323389292196</v>
      </c>
      <c r="F16" s="1352"/>
      <c r="G16" s="1007">
        <f>SUM(G13:G15)</f>
        <v>9.540000000000001</v>
      </c>
    </row>
    <row r="17" spans="1:7" ht="12.75">
      <c r="A17" s="1006" t="s">
        <v>994</v>
      </c>
      <c r="B17" s="1005">
        <f>Conversions!C320*$C$5/16</f>
        <v>11.4375</v>
      </c>
      <c r="C17" s="1005">
        <f>$C$5*Conversions!E320</f>
        <v>141.87712760625502</v>
      </c>
      <c r="D17" s="1005">
        <f>$C$5*Conversions!F320</f>
        <v>193.92050230232562</v>
      </c>
      <c r="E17" s="1004">
        <f>$C$5*Conversions!G320</f>
        <v>184.74364791288565</v>
      </c>
      <c r="F17" s="1357">
        <f>Conversions!C341/60*'Party Ware'!C5*Conversions!C342</f>
        <v>50</v>
      </c>
      <c r="G17" s="366">
        <f>$C$5*Conversions!B320</f>
        <v>59.7</v>
      </c>
    </row>
    <row r="18" spans="1:7" ht="12.75">
      <c r="A18" s="631" t="s">
        <v>993</v>
      </c>
      <c r="B18" s="630">
        <f>Conversions!C324*$C$5/16</f>
        <v>0.8625</v>
      </c>
      <c r="C18" s="630">
        <f>$C$5*Conversions!E324</f>
        <v>10.698930934242183</v>
      </c>
      <c r="D18" s="630">
        <f>$C$5*Conversions!F324</f>
        <v>14.623513288372095</v>
      </c>
      <c r="E18" s="1003">
        <f>$C$5*Conversions!G324</f>
        <v>13.931488203266788</v>
      </c>
      <c r="F18" s="1358"/>
      <c r="G18" s="361">
        <f>$C$5*Conversions!B324</f>
        <v>1.194</v>
      </c>
    </row>
    <row r="19" spans="1:7" ht="12.75">
      <c r="A19" s="1002" t="s">
        <v>992</v>
      </c>
      <c r="B19" s="1001">
        <f>Conversions!C336*$C$5/16</f>
        <v>8.343749999999998</v>
      </c>
      <c r="C19" s="724">
        <f>$C$5*Conversions!E336</f>
        <v>0</v>
      </c>
      <c r="D19" s="1001">
        <f>$C$5*Conversions!F336</f>
        <v>14.184374999999998</v>
      </c>
      <c r="E19" s="1000">
        <f>$C$5*Conversions!G336</f>
        <v>0</v>
      </c>
      <c r="F19" s="1359"/>
      <c r="G19" s="469">
        <f>$C$5*Conversions!B336</f>
        <v>45</v>
      </c>
    </row>
    <row r="20" spans="1:7" ht="12.75">
      <c r="A20" s="999" t="s">
        <v>307</v>
      </c>
      <c r="B20" s="998">
        <f>SUM(B17:B19)</f>
        <v>20.643749999999997</v>
      </c>
      <c r="C20" s="998">
        <f>SUM(C17:C19)</f>
        <v>152.5760585404972</v>
      </c>
      <c r="D20" s="997">
        <f>SUM(D17:D19)</f>
        <v>222.7283905906977</v>
      </c>
      <c r="E20" s="1353">
        <f>SUM(E17:E19)+F17</f>
        <v>248.67513611615243</v>
      </c>
      <c r="F20" s="1354"/>
      <c r="G20" s="996">
        <f>SUM(G17:G19)</f>
        <v>105.894</v>
      </c>
    </row>
    <row r="21" spans="1:7" ht="96.75" customHeight="1">
      <c r="A21" s="1360" t="s">
        <v>344</v>
      </c>
      <c r="B21" s="1333"/>
      <c r="C21" s="995">
        <f>C20/C16</f>
        <v>4.813708301623101</v>
      </c>
      <c r="D21" s="995">
        <f>D20/D16</f>
        <v>5.1409369187461005</v>
      </c>
      <c r="E21" s="1360" t="s">
        <v>991</v>
      </c>
      <c r="F21" s="1361"/>
      <c r="G21" s="995">
        <f>G20/G16</f>
        <v>11.1</v>
      </c>
    </row>
    <row r="22" ht="12.75">
      <c r="A22" s="459" t="s">
        <v>990</v>
      </c>
    </row>
    <row r="24" spans="1:6" ht="45" customHeight="1">
      <c r="A24" s="1349" t="str">
        <f>CONCATENATE("Conclusion:  If your classroom has more than ",ROUND(D21,0)," events which require dishware each year, than it would be environmentally beneficial to purchase reusable dishware.  In terms of cost, it will take ",ROUND(G21,0)," events before the classroom can justify the cost of the reusable dishware.")</f>
        <v>Conclusion:  If your classroom has more than 5 events which require dishware each year, than it would be environmentally beneficial to purchase reusable dishware.  In terms of cost, it will take 11 events before the classroom can justify the cost of the reusable dishware.</v>
      </c>
      <c r="B24" s="1349"/>
      <c r="C24" s="1349"/>
      <c r="D24" s="1349"/>
      <c r="E24" s="1349"/>
      <c r="F24" s="1349"/>
    </row>
  </sheetData>
  <sheetProtection/>
  <mergeCells count="11">
    <mergeCell ref="E21:F21"/>
    <mergeCell ref="A7:D7"/>
    <mergeCell ref="A8:D8"/>
    <mergeCell ref="A9:D9"/>
    <mergeCell ref="A3:E3"/>
    <mergeCell ref="A24:F24"/>
    <mergeCell ref="F13:F16"/>
    <mergeCell ref="E20:F20"/>
    <mergeCell ref="B11:E11"/>
    <mergeCell ref="F17:F19"/>
    <mergeCell ref="A21:B21"/>
  </mergeCells>
  <dataValidations count="3">
    <dataValidation type="list" allowBlank="1" showInputMessage="1" showErrorMessage="1" sqref="E7">
      <formula1>plate_type_P</formula1>
    </dataValidation>
    <dataValidation type="list" allowBlank="1" showInputMessage="1" showErrorMessage="1" sqref="E9">
      <formula1>utensils_P</formula1>
    </dataValidation>
    <dataValidation type="list" allowBlank="1" showInputMessage="1" showErrorMessage="1" sqref="E8">
      <formula1>plate_P</formula1>
    </dataValidation>
  </dataValidations>
  <hyperlinks>
    <hyperlink ref="A2" location="'Table of Contents'!A1" display="TOC"/>
  </hyperlinks>
  <printOptions headings="1"/>
  <pageMargins left="0.75" right="0.75" top="1" bottom="1" header="0.5" footer="0.5"/>
  <pageSetup fitToHeight="1" fitToWidth="1" orientation="landscape" scale="86" r:id="rId1"/>
</worksheet>
</file>

<file path=xl/worksheets/sheet22.xml><?xml version="1.0" encoding="utf-8"?>
<worksheet xmlns="http://schemas.openxmlformats.org/spreadsheetml/2006/main" xmlns:r="http://schemas.openxmlformats.org/officeDocument/2006/relationships">
  <sheetPr codeName="Sheet1">
    <tabColor theme="9" tint="0.39998000860214233"/>
    <pageSetUpPr fitToPage="1"/>
  </sheetPr>
  <dimension ref="A2:W356"/>
  <sheetViews>
    <sheetView zoomScalePageLayoutView="0" workbookViewId="0" topLeftCell="A50">
      <selection activeCell="B76" sqref="B76"/>
    </sheetView>
  </sheetViews>
  <sheetFormatPr defaultColWidth="8.8515625" defaultRowHeight="12.75"/>
  <cols>
    <col min="1" max="1" width="36.57421875" style="5" customWidth="1"/>
    <col min="2" max="2" width="17.7109375" style="6" customWidth="1"/>
    <col min="3" max="3" width="19.140625" style="6" customWidth="1"/>
    <col min="4" max="4" width="20.421875" style="6" customWidth="1"/>
    <col min="5" max="5" width="17.7109375" style="0" customWidth="1"/>
    <col min="6" max="6" width="21.140625" style="0" customWidth="1"/>
    <col min="7" max="7" width="13.28125" style="0" bestFit="1" customWidth="1"/>
    <col min="8" max="8" width="9.28125" style="0" bestFit="1" customWidth="1"/>
    <col min="9" max="9" width="5.57421875" style="0" bestFit="1" customWidth="1"/>
    <col min="10" max="17" width="8.8515625" style="0" customWidth="1"/>
    <col min="18" max="18" width="1.7109375" style="0" customWidth="1"/>
    <col min="19" max="42" width="9.140625" style="0" customWidth="1"/>
  </cols>
  <sheetData>
    <row r="1" ht="12.75"/>
    <row r="2" spans="1:3" ht="12.75">
      <c r="A2" s="80" t="s">
        <v>471</v>
      </c>
      <c r="B2" s="81">
        <v>1.363</v>
      </c>
      <c r="C2" s="81" t="s">
        <v>472</v>
      </c>
    </row>
    <row r="3" spans="1:23" ht="12.75">
      <c r="A3" s="3"/>
      <c r="B3" s="57"/>
      <c r="C3" s="57"/>
      <c r="Q3" s="2"/>
      <c r="R3" s="2"/>
      <c r="S3" s="2"/>
      <c r="T3" s="2"/>
      <c r="U3" s="2"/>
      <c r="V3" s="2"/>
      <c r="W3" s="2"/>
    </row>
    <row r="4" spans="1:23" ht="12.75">
      <c r="A4" s="37" t="s">
        <v>455</v>
      </c>
      <c r="Q4" s="2"/>
      <c r="R4" s="2"/>
      <c r="S4" s="2"/>
      <c r="T4" s="2"/>
      <c r="U4" s="2"/>
      <c r="V4" s="2"/>
      <c r="W4" s="2"/>
    </row>
    <row r="5" spans="1:23" ht="12.75">
      <c r="A5" s="34" t="s">
        <v>473</v>
      </c>
      <c r="B5" s="39">
        <v>453.59</v>
      </c>
      <c r="C5" s="40" t="s">
        <v>495</v>
      </c>
      <c r="Q5" s="2"/>
      <c r="R5" s="2"/>
      <c r="S5" s="2"/>
      <c r="T5" s="2"/>
      <c r="U5" s="2"/>
      <c r="V5" s="2"/>
      <c r="W5" s="2"/>
    </row>
    <row r="6" spans="1:23" ht="12.75">
      <c r="A6" s="28" t="s">
        <v>474</v>
      </c>
      <c r="B6" s="29">
        <v>2.205</v>
      </c>
      <c r="C6" s="41" t="s">
        <v>475</v>
      </c>
      <c r="Q6" s="2"/>
      <c r="R6" s="2"/>
      <c r="S6" s="2"/>
      <c r="T6" s="2"/>
      <c r="U6" s="2"/>
      <c r="V6" s="2"/>
      <c r="W6" s="2"/>
    </row>
    <row r="7" spans="1:23" ht="12.75">
      <c r="A7" s="28" t="s">
        <v>476</v>
      </c>
      <c r="B7" s="29">
        <v>28.35</v>
      </c>
      <c r="C7" s="41" t="s">
        <v>495</v>
      </c>
      <c r="Q7" s="2"/>
      <c r="R7" s="2"/>
      <c r="S7" s="2"/>
      <c r="T7" s="2"/>
      <c r="U7" s="2"/>
      <c r="V7" s="2"/>
      <c r="W7" s="2"/>
    </row>
    <row r="8" spans="1:23" ht="12.75">
      <c r="A8" s="28" t="s">
        <v>477</v>
      </c>
      <c r="B8" s="29">
        <v>128</v>
      </c>
      <c r="C8" s="41" t="s">
        <v>478</v>
      </c>
      <c r="Q8" s="2"/>
      <c r="R8" s="2"/>
      <c r="S8" s="2"/>
      <c r="T8" s="2"/>
      <c r="U8" s="2"/>
      <c r="V8" s="2"/>
      <c r="W8" s="2"/>
    </row>
    <row r="9" spans="1:23" ht="12.75">
      <c r="A9" s="28" t="s">
        <v>479</v>
      </c>
      <c r="B9" s="29">
        <v>0.28</v>
      </c>
      <c r="C9" s="41" t="s">
        <v>480</v>
      </c>
      <c r="Q9" s="2"/>
      <c r="R9" s="2"/>
      <c r="S9" s="2"/>
      <c r="T9" s="2"/>
      <c r="U9" s="2"/>
      <c r="V9" s="2"/>
      <c r="W9" s="2"/>
    </row>
    <row r="10" spans="1:23" ht="12.75">
      <c r="A10" s="35" t="s">
        <v>515</v>
      </c>
      <c r="B10" s="32">
        <v>3412.3</v>
      </c>
      <c r="C10" s="42" t="s">
        <v>516</v>
      </c>
      <c r="Q10" s="2"/>
      <c r="R10" s="2"/>
      <c r="S10" s="2"/>
      <c r="T10" s="2"/>
      <c r="U10" s="2"/>
      <c r="V10" s="2"/>
      <c r="W10" s="2"/>
    </row>
    <row r="11" spans="17:23" ht="12.75">
      <c r="Q11" s="2"/>
      <c r="R11" s="2"/>
      <c r="S11" s="2"/>
      <c r="T11" s="2"/>
      <c r="U11" s="2"/>
      <c r="V11" s="2"/>
      <c r="W11" s="2"/>
    </row>
    <row r="12" spans="1:23" ht="12.75">
      <c r="A12" s="7" t="s">
        <v>481</v>
      </c>
      <c r="B12" s="8"/>
      <c r="C12" s="8"/>
      <c r="D12" s="9"/>
      <c r="Q12" s="2"/>
      <c r="R12" s="2"/>
      <c r="S12" s="2"/>
      <c r="T12" s="2"/>
      <c r="U12" s="2"/>
      <c r="V12" s="2"/>
      <c r="W12" s="2"/>
    </row>
    <row r="13" spans="1:23" ht="38.25">
      <c r="A13" s="10"/>
      <c r="B13" s="11" t="s">
        <v>493</v>
      </c>
      <c r="C13" s="103" t="s">
        <v>613</v>
      </c>
      <c r="D13" s="33" t="s">
        <v>494</v>
      </c>
      <c r="E13" s="65"/>
      <c r="F13" s="45"/>
      <c r="G13" s="45"/>
      <c r="H13" s="45"/>
      <c r="Q13" s="2"/>
      <c r="R13" s="2"/>
      <c r="S13" s="2"/>
      <c r="T13" s="2"/>
      <c r="U13" s="2"/>
      <c r="V13" s="2"/>
      <c r="W13" s="2"/>
    </row>
    <row r="14" spans="1:23" ht="12.75">
      <c r="A14" s="52" t="s">
        <v>482</v>
      </c>
      <c r="B14" s="53">
        <f>0.34+1.93</f>
        <v>2.27</v>
      </c>
      <c r="C14" s="54">
        <f>B14*$B$2</f>
        <v>3.09401</v>
      </c>
      <c r="D14" s="55">
        <f>4.44+0.99</f>
        <v>5.430000000000001</v>
      </c>
      <c r="E14" s="323"/>
      <c r="F14" s="310"/>
      <c r="G14" s="310"/>
      <c r="H14" s="310"/>
      <c r="Q14" s="2"/>
      <c r="R14" s="2"/>
      <c r="S14" s="2"/>
      <c r="T14" s="2"/>
      <c r="U14" s="2"/>
      <c r="V14" s="2"/>
      <c r="W14" s="2"/>
    </row>
    <row r="15" spans="1:23" ht="12.75">
      <c r="A15" s="13" t="s">
        <v>510</v>
      </c>
      <c r="B15" s="14">
        <v>11.35</v>
      </c>
      <c r="C15" s="12">
        <f>B15*$B$2</f>
        <v>15.470049999999999</v>
      </c>
      <c r="D15" s="15">
        <v>8.29</v>
      </c>
      <c r="E15" s="323"/>
      <c r="F15" s="1033"/>
      <c r="G15" s="310"/>
      <c r="H15" s="310"/>
      <c r="Q15" s="2"/>
      <c r="R15" s="2"/>
      <c r="S15" s="2"/>
      <c r="T15" s="2"/>
      <c r="U15" s="2"/>
      <c r="V15" s="2"/>
      <c r="W15" s="2"/>
    </row>
    <row r="16" spans="1:23" ht="12.75">
      <c r="A16" s="58" t="s">
        <v>509</v>
      </c>
      <c r="B16" s="59">
        <v>3.9563807531380757</v>
      </c>
      <c r="C16" s="12">
        <f aca="true" t="shared" si="0" ref="C16:C22">B16*$B$2</f>
        <v>5.392546966527197</v>
      </c>
      <c r="D16" s="60">
        <v>6.58</v>
      </c>
      <c r="E16" s="323"/>
      <c r="F16" s="1033"/>
      <c r="G16" s="310"/>
      <c r="H16" s="310"/>
      <c r="Q16" s="2"/>
      <c r="R16" s="2"/>
      <c r="S16" s="2"/>
      <c r="T16" s="2"/>
      <c r="U16" s="2"/>
      <c r="V16" s="2"/>
      <c r="W16" s="2"/>
    </row>
    <row r="17" spans="1:23" ht="12.75">
      <c r="A17" s="16" t="s">
        <v>500</v>
      </c>
      <c r="B17" s="17">
        <v>12.714492184752178</v>
      </c>
      <c r="C17" s="12">
        <f t="shared" si="0"/>
        <v>17.329852847817218</v>
      </c>
      <c r="D17" s="18">
        <v>19.600725952813068</v>
      </c>
      <c r="Q17" s="2"/>
      <c r="R17" s="2"/>
      <c r="S17" s="2"/>
      <c r="T17" s="2"/>
      <c r="U17" s="2"/>
      <c r="V17" s="2"/>
      <c r="W17" s="2"/>
    </row>
    <row r="18" spans="1:23" ht="12.75">
      <c r="A18" s="16" t="s">
        <v>483</v>
      </c>
      <c r="B18" s="17">
        <v>11.007427285318562</v>
      </c>
      <c r="C18" s="12">
        <f t="shared" si="0"/>
        <v>15.003123389889199</v>
      </c>
      <c r="D18" s="18">
        <v>4.4464609800362975</v>
      </c>
      <c r="Q18" s="2"/>
      <c r="R18" s="2"/>
      <c r="S18" s="2"/>
      <c r="T18" s="2"/>
      <c r="U18" s="2"/>
      <c r="V18" s="2"/>
      <c r="W18" s="2"/>
    </row>
    <row r="19" spans="1:23" ht="12.75">
      <c r="A19" s="16" t="s">
        <v>501</v>
      </c>
      <c r="B19" s="17">
        <v>11.757066895914924</v>
      </c>
      <c r="C19" s="12">
        <f t="shared" si="0"/>
        <v>16.024882179132042</v>
      </c>
      <c r="D19" s="18">
        <v>7.48638838475499</v>
      </c>
      <c r="Q19" s="2"/>
      <c r="R19" s="2"/>
      <c r="S19" s="2"/>
      <c r="T19" s="2"/>
      <c r="U19" s="2"/>
      <c r="V19" s="2"/>
      <c r="W19" s="2"/>
    </row>
    <row r="20" spans="1:23" ht="12.75">
      <c r="A20" s="16" t="s">
        <v>502</v>
      </c>
      <c r="B20" s="17">
        <v>11.416998997038878</v>
      </c>
      <c r="C20" s="12">
        <f t="shared" si="0"/>
        <v>15.56136963296399</v>
      </c>
      <c r="D20" s="18">
        <v>2.5181488203266786</v>
      </c>
      <c r="Q20" s="2"/>
      <c r="R20" s="2"/>
      <c r="S20" s="2"/>
      <c r="T20" s="2"/>
      <c r="U20" s="2"/>
      <c r="V20" s="2"/>
      <c r="W20" s="2"/>
    </row>
    <row r="21" spans="1:23" ht="12.75">
      <c r="A21" s="16" t="s">
        <v>503</v>
      </c>
      <c r="B21" s="17">
        <v>13.19709618874773</v>
      </c>
      <c r="C21" s="12">
        <f t="shared" si="0"/>
        <v>17.987642105263156</v>
      </c>
      <c r="D21" s="18">
        <v>3.9609800362976406</v>
      </c>
      <c r="Q21" s="2"/>
      <c r="R21" s="2"/>
      <c r="S21" s="2"/>
      <c r="T21" s="2"/>
      <c r="U21" s="2"/>
      <c r="V21" s="2"/>
      <c r="W21" s="2"/>
    </row>
    <row r="22" spans="1:23" ht="12.75">
      <c r="A22" s="19" t="s">
        <v>504</v>
      </c>
      <c r="B22" s="61">
        <v>12.404557604918473</v>
      </c>
      <c r="C22" s="50">
        <f t="shared" si="0"/>
        <v>16.90741201550388</v>
      </c>
      <c r="D22" s="20">
        <v>16.1524500907441</v>
      </c>
      <c r="Q22" s="2"/>
      <c r="R22" s="2"/>
      <c r="S22" s="2"/>
      <c r="T22" s="2"/>
      <c r="U22" s="2"/>
      <c r="V22" s="2"/>
      <c r="W22" s="2"/>
    </row>
    <row r="23" spans="1:4" s="2" customFormat="1" ht="12.75">
      <c r="A23" s="21"/>
      <c r="B23" s="22"/>
      <c r="C23" s="22"/>
      <c r="D23" s="22"/>
    </row>
    <row r="24" spans="1:4" s="2" customFormat="1" ht="12.75">
      <c r="A24" s="62" t="s">
        <v>514</v>
      </c>
      <c r="B24" s="22"/>
      <c r="C24" s="22"/>
      <c r="D24" s="22"/>
    </row>
    <row r="25" spans="1:23" ht="33.75" customHeight="1">
      <c r="A25" s="1368" t="s">
        <v>550</v>
      </c>
      <c r="B25" s="1369"/>
      <c r="C25" s="1369"/>
      <c r="D25" s="1369"/>
      <c r="E25" s="1370"/>
      <c r="Q25" s="2"/>
      <c r="R25" s="2"/>
      <c r="S25" s="2"/>
      <c r="T25" s="2"/>
      <c r="U25" s="2"/>
      <c r="V25" s="2"/>
      <c r="W25" s="2"/>
    </row>
    <row r="26" spans="1:23" ht="30.75" customHeight="1">
      <c r="A26" s="1371" t="s">
        <v>551</v>
      </c>
      <c r="B26" s="1372"/>
      <c r="C26" s="1372"/>
      <c r="D26" s="1372"/>
      <c r="E26" s="1373"/>
      <c r="F26" s="2"/>
      <c r="G26" s="2"/>
      <c r="H26" s="2"/>
      <c r="I26" s="2"/>
      <c r="J26" s="2"/>
      <c r="K26" s="2"/>
      <c r="Q26" s="2"/>
      <c r="R26" s="2"/>
      <c r="S26" s="2"/>
      <c r="T26" s="2"/>
      <c r="U26" s="2"/>
      <c r="V26" s="2"/>
      <c r="W26" s="2"/>
    </row>
    <row r="27" spans="1:23" ht="42.75" customHeight="1">
      <c r="A27" s="1377" t="s">
        <v>552</v>
      </c>
      <c r="B27" s="1378"/>
      <c r="C27" s="1378"/>
      <c r="D27" s="1378"/>
      <c r="E27" s="1379"/>
      <c r="Q27" s="2"/>
      <c r="R27" s="2"/>
      <c r="S27" s="2"/>
      <c r="T27" s="2"/>
      <c r="U27" s="2"/>
      <c r="V27" s="2"/>
      <c r="W27" s="2"/>
    </row>
    <row r="28" spans="1:23" ht="32.25" customHeight="1">
      <c r="A28" s="1397" t="s">
        <v>484</v>
      </c>
      <c r="B28" s="1398"/>
      <c r="C28" s="1398"/>
      <c r="D28" s="1398"/>
      <c r="E28" s="1399"/>
      <c r="Q28" s="2"/>
      <c r="R28" s="2"/>
      <c r="S28" s="2"/>
      <c r="T28" s="2"/>
      <c r="U28" s="2"/>
      <c r="V28" s="2"/>
      <c r="W28" s="2"/>
    </row>
    <row r="29" spans="1:23" ht="42.75" customHeight="1">
      <c r="A29" s="1394" t="s">
        <v>553</v>
      </c>
      <c r="B29" s="1395"/>
      <c r="C29" s="1395"/>
      <c r="D29" s="1395"/>
      <c r="E29" s="1396"/>
      <c r="Q29" s="2"/>
      <c r="R29" s="2"/>
      <c r="S29" s="2"/>
      <c r="T29" s="2"/>
      <c r="U29" s="2"/>
      <c r="V29" s="2"/>
      <c r="W29" s="2"/>
    </row>
    <row r="30" spans="1:23" ht="15.75" customHeight="1">
      <c r="A30" s="1382" t="s">
        <v>513</v>
      </c>
      <c r="B30" s="1383"/>
      <c r="C30" s="1383"/>
      <c r="D30" s="1383"/>
      <c r="E30" s="1384"/>
      <c r="Q30" s="2"/>
      <c r="R30" s="2"/>
      <c r="S30" s="2"/>
      <c r="T30" s="2"/>
      <c r="U30" s="2"/>
      <c r="V30" s="2"/>
      <c r="W30" s="2"/>
    </row>
    <row r="31" spans="1:4" s="2" customFormat="1" ht="12.75">
      <c r="A31" s="21"/>
      <c r="B31" s="22"/>
      <c r="C31" s="22"/>
      <c r="D31" s="22"/>
    </row>
    <row r="32" spans="1:23" ht="12.75">
      <c r="A32" s="23" t="s">
        <v>505</v>
      </c>
      <c r="B32" s="24"/>
      <c r="C32" s="25"/>
      <c r="D32" s="25"/>
      <c r="E32" s="26"/>
      <c r="Q32" s="2"/>
      <c r="R32" s="2"/>
      <c r="S32" s="2"/>
      <c r="T32" s="2"/>
      <c r="U32" s="2"/>
      <c r="V32" s="2"/>
      <c r="W32" s="2"/>
    </row>
    <row r="33" spans="1:23" ht="12.75">
      <c r="A33" s="77" t="s">
        <v>485</v>
      </c>
      <c r="B33" s="78" t="s">
        <v>486</v>
      </c>
      <c r="C33" s="78" t="s">
        <v>487</v>
      </c>
      <c r="D33" s="78" t="s">
        <v>494</v>
      </c>
      <c r="E33" s="79" t="s">
        <v>488</v>
      </c>
      <c r="Q33" s="2"/>
      <c r="R33" s="2"/>
      <c r="S33" s="2"/>
      <c r="T33" s="2"/>
      <c r="U33" s="2"/>
      <c r="V33" s="2"/>
      <c r="W33" s="2"/>
    </row>
    <row r="34" spans="1:23" ht="12.75">
      <c r="A34" s="34" t="s">
        <v>489</v>
      </c>
      <c r="B34" s="39">
        <f>EDF_results!$C3/$B$10/2000</f>
        <v>4.395862028543798</v>
      </c>
      <c r="C34" s="39">
        <f>EDF_results!$H3/2000</f>
        <v>2.941</v>
      </c>
      <c r="D34" s="39">
        <f>EDF_results!$N3/2000</f>
        <v>11.1095</v>
      </c>
      <c r="E34" s="68">
        <f>EDF_results!B3</f>
        <v>4</v>
      </c>
      <c r="Q34" s="2"/>
      <c r="R34" s="2"/>
      <c r="S34" s="2"/>
      <c r="T34" s="2"/>
      <c r="U34" s="2"/>
      <c r="V34" s="2"/>
      <c r="W34" s="2"/>
    </row>
    <row r="35" spans="1:23" ht="12.75">
      <c r="A35" s="28" t="s">
        <v>490</v>
      </c>
      <c r="B35" s="29">
        <f>EDF_results!$C4/$B$10/2000</f>
        <v>3.9562758256894175</v>
      </c>
      <c r="C35" s="29">
        <f>EDF_results!$H4/2000</f>
        <v>2.572</v>
      </c>
      <c r="D35" s="29">
        <f>EDF_results!$N4/2000</f>
        <v>9.3325</v>
      </c>
      <c r="E35" s="30">
        <f>EDF_results!B4</f>
        <v>3</v>
      </c>
      <c r="Q35" s="2"/>
      <c r="R35" s="2"/>
      <c r="S35" s="2"/>
      <c r="T35" s="2"/>
      <c r="U35" s="2"/>
      <c r="V35" s="2"/>
      <c r="W35" s="2"/>
    </row>
    <row r="36" spans="1:23" ht="12.75">
      <c r="A36" s="28" t="s">
        <v>491</v>
      </c>
      <c r="B36" s="29">
        <f>EDF_results!$C5/$B$10/2000</f>
        <v>3.2236321542654514</v>
      </c>
      <c r="C36" s="29">
        <f>EDF_results!$H5/2000</f>
        <v>1.711</v>
      </c>
      <c r="D36" s="29">
        <f>EDF_results!$N5/2000</f>
        <v>5.186</v>
      </c>
      <c r="E36" s="30">
        <f>EDF_results!B5</f>
        <v>0</v>
      </c>
      <c r="Q36" s="2"/>
      <c r="R36" s="2"/>
      <c r="S36" s="2"/>
      <c r="T36" s="2"/>
      <c r="U36" s="2"/>
      <c r="V36" s="2"/>
      <c r="W36" s="2"/>
    </row>
    <row r="37" spans="1:23" ht="12.75">
      <c r="A37" s="31" t="s">
        <v>669</v>
      </c>
      <c r="B37" s="29">
        <f>EDF_results!$C6/$B$10/2000</f>
        <v>4.688919497113384</v>
      </c>
      <c r="C37" s="29">
        <f>EDF_results!$H6/2000</f>
        <v>3.558</v>
      </c>
      <c r="D37" s="29">
        <f>EDF_results!$N6/2000</f>
        <v>8.124</v>
      </c>
      <c r="E37" s="30">
        <f>EDF_results!B6</f>
        <v>3</v>
      </c>
      <c r="Q37" s="2"/>
      <c r="R37" s="2"/>
      <c r="S37" s="2"/>
      <c r="T37" s="2"/>
      <c r="U37" s="2"/>
      <c r="V37" s="2"/>
      <c r="W37" s="2"/>
    </row>
    <row r="38" spans="1:23" ht="12.75">
      <c r="A38" s="31" t="s">
        <v>460</v>
      </c>
      <c r="B38" s="29">
        <f>EDF_results!$C7/$B$10/2000</f>
        <v>4.395862028543798</v>
      </c>
      <c r="C38" s="29">
        <f>EDF_results!$H7/2000</f>
        <v>3.374</v>
      </c>
      <c r="D38" s="29">
        <f>EDF_results!$N7/2000</f>
        <v>8.1255</v>
      </c>
      <c r="E38" s="30">
        <f>EDF_results!B7</f>
        <v>2</v>
      </c>
      <c r="Q38" s="2"/>
      <c r="R38" s="2"/>
      <c r="S38" s="2"/>
      <c r="T38" s="2"/>
      <c r="U38" s="2"/>
      <c r="V38" s="2"/>
      <c r="W38" s="2"/>
    </row>
    <row r="39" spans="1:23" ht="25.5">
      <c r="A39" s="31" t="s">
        <v>461</v>
      </c>
      <c r="B39" s="29">
        <f>EDF_results!$C8/$B$10/2000</f>
        <v>3.9562758256894175</v>
      </c>
      <c r="C39" s="29">
        <f>EDF_results!$H8/2000</f>
        <v>2.825</v>
      </c>
      <c r="D39" s="29">
        <f>EDF_results!$N8/2000</f>
        <v>5.769</v>
      </c>
      <c r="E39" s="30">
        <f>EDF_results!B8</f>
        <v>4</v>
      </c>
      <c r="Q39" s="2"/>
      <c r="R39" s="2"/>
      <c r="S39" s="2"/>
      <c r="T39" s="2"/>
      <c r="U39" s="2"/>
      <c r="V39" s="2"/>
      <c r="W39" s="2"/>
    </row>
    <row r="40" spans="1:23" ht="38.25">
      <c r="A40" s="31" t="s">
        <v>462</v>
      </c>
      <c r="B40" s="29">
        <f>EDF_results!$C9/$B$10/2000</f>
        <v>3.2236321542654514</v>
      </c>
      <c r="C40" s="29">
        <f>EDF_results!$H9/2000</f>
        <v>2.192</v>
      </c>
      <c r="D40" s="29">
        <f>EDF_results!$N9/2000</f>
        <v>3.3795</v>
      </c>
      <c r="E40" s="30">
        <f>EDF_results!B9</f>
        <v>2</v>
      </c>
      <c r="Q40" s="2"/>
      <c r="R40" s="2"/>
      <c r="S40" s="2"/>
      <c r="T40" s="2"/>
      <c r="U40" s="2"/>
      <c r="V40" s="2"/>
      <c r="W40" s="2"/>
    </row>
    <row r="41" spans="1:5" s="2" customFormat="1" ht="12.75">
      <c r="A41" s="69" t="s">
        <v>531</v>
      </c>
      <c r="B41" s="32">
        <f>EDF_results!$C10/$B$10/2000</f>
        <v>4.688919497113384</v>
      </c>
      <c r="C41" s="32">
        <f>EDF_results!$H10/2000</f>
        <v>3.5685</v>
      </c>
      <c r="D41" s="32">
        <f>EDF_results!$N10/2000</f>
        <v>11.727</v>
      </c>
      <c r="E41" s="67">
        <f>EDF_results!B10</f>
        <v>4</v>
      </c>
    </row>
    <row r="42" spans="1:5" s="2" customFormat="1" ht="30" customHeight="1">
      <c r="A42" s="1380" t="s">
        <v>463</v>
      </c>
      <c r="B42" s="1381"/>
      <c r="C42" s="1381"/>
      <c r="D42" s="1381"/>
      <c r="E42" s="1381"/>
    </row>
    <row r="43" spans="1:23" ht="30" customHeight="1">
      <c r="A43" s="1400" t="s">
        <v>607</v>
      </c>
      <c r="B43" s="1400"/>
      <c r="C43" s="1400"/>
      <c r="D43" s="1400"/>
      <c r="E43" s="1400"/>
      <c r="Q43" s="2"/>
      <c r="R43" s="2"/>
      <c r="S43" s="2"/>
      <c r="T43" s="2"/>
      <c r="U43" s="2"/>
      <c r="V43" s="2"/>
      <c r="W43" s="2"/>
    </row>
    <row r="44" spans="2:23" ht="12.75">
      <c r="B44" s="36"/>
      <c r="C44" s="36"/>
      <c r="D44" s="36"/>
      <c r="Q44" s="2"/>
      <c r="R44" s="2"/>
      <c r="S44" s="2"/>
      <c r="T44" s="2"/>
      <c r="U44" s="2"/>
      <c r="V44" s="2"/>
      <c r="W44" s="2"/>
    </row>
    <row r="45" spans="1:23" ht="12.75">
      <c r="A45" s="48"/>
      <c r="B45" s="36"/>
      <c r="C45" s="36"/>
      <c r="D45" s="36"/>
      <c r="Q45" s="2"/>
      <c r="R45" s="2"/>
      <c r="S45" s="2"/>
      <c r="T45" s="2"/>
      <c r="U45" s="2"/>
      <c r="V45" s="2"/>
      <c r="W45" s="2"/>
    </row>
    <row r="46" spans="1:23" ht="12.75">
      <c r="A46" s="48" t="s">
        <v>608</v>
      </c>
      <c r="B46" s="36"/>
      <c r="C46" s="36"/>
      <c r="D46" s="36"/>
      <c r="Q46" s="2"/>
      <c r="R46" s="2"/>
      <c r="S46" s="2"/>
      <c r="T46" s="2"/>
      <c r="U46" s="2"/>
      <c r="V46" s="2"/>
      <c r="W46" s="2"/>
    </row>
    <row r="47" spans="1:23" ht="38.25">
      <c r="A47" s="1385" t="s">
        <v>464</v>
      </c>
      <c r="B47" s="1386"/>
      <c r="C47" s="1387"/>
      <c r="D47" s="47" t="s">
        <v>465</v>
      </c>
      <c r="E47" s="66"/>
      <c r="Q47" s="2"/>
      <c r="R47" s="2"/>
      <c r="S47" s="2"/>
      <c r="T47" s="2"/>
      <c r="U47" s="2"/>
      <c r="V47" s="2"/>
      <c r="W47" s="2"/>
    </row>
    <row r="48" spans="1:23" ht="30.75" customHeight="1">
      <c r="A48" s="1374" t="s">
        <v>466</v>
      </c>
      <c r="B48" s="1375"/>
      <c r="C48" s="1376"/>
      <c r="D48" s="30">
        <f>0.043*1.102</f>
        <v>0.047386</v>
      </c>
      <c r="Q48" s="2"/>
      <c r="R48" s="2"/>
      <c r="S48" s="2"/>
      <c r="T48" s="2"/>
      <c r="U48" s="2"/>
      <c r="V48" s="2"/>
      <c r="W48" s="2"/>
    </row>
    <row r="49" spans="1:23" ht="30.75" customHeight="1">
      <c r="A49" s="1374" t="s">
        <v>467</v>
      </c>
      <c r="B49" s="1375"/>
      <c r="C49" s="1376"/>
      <c r="D49" s="30">
        <f>-0.361*1.102</f>
        <v>-0.397822</v>
      </c>
      <c r="Q49" s="2"/>
      <c r="R49" s="2"/>
      <c r="S49" s="2"/>
      <c r="T49" s="2"/>
      <c r="U49" s="2"/>
      <c r="V49" s="2"/>
      <c r="W49" s="2"/>
    </row>
    <row r="50" spans="1:23" ht="30.75" customHeight="1">
      <c r="A50" s="1374" t="s">
        <v>468</v>
      </c>
      <c r="B50" s="1375"/>
      <c r="C50" s="1376"/>
      <c r="D50" s="30">
        <f>-0.194*1.102</f>
        <v>-0.21378800000000003</v>
      </c>
      <c r="Q50" s="2"/>
      <c r="R50" s="2"/>
      <c r="S50" s="2"/>
      <c r="T50" s="2"/>
      <c r="U50" s="2"/>
      <c r="V50" s="2"/>
      <c r="W50" s="2"/>
    </row>
    <row r="51" spans="1:23" ht="30.75" customHeight="1">
      <c r="A51" s="1374" t="s">
        <v>469</v>
      </c>
      <c r="B51" s="1375"/>
      <c r="C51" s="1376"/>
      <c r="D51" s="30">
        <f>-0.469*1.102</f>
        <v>-0.516838</v>
      </c>
      <c r="E51" s="36"/>
      <c r="Q51" s="2"/>
      <c r="R51" s="2"/>
      <c r="S51" s="2"/>
      <c r="T51" s="2"/>
      <c r="U51" s="2"/>
      <c r="V51" s="2"/>
      <c r="W51" s="2"/>
    </row>
    <row r="52" spans="1:23" ht="30.75" customHeight="1">
      <c r="A52" s="1374" t="s">
        <v>470</v>
      </c>
      <c r="B52" s="1375"/>
      <c r="C52" s="1376"/>
      <c r="D52" s="30">
        <f>-3.532*1.102</f>
        <v>-3.8922640000000004</v>
      </c>
      <c r="Q52" s="2"/>
      <c r="R52" s="2"/>
      <c r="S52" s="2"/>
      <c r="T52" s="2"/>
      <c r="U52" s="2"/>
      <c r="V52" s="2"/>
      <c r="W52" s="2"/>
    </row>
    <row r="53" spans="1:23" ht="31.5" customHeight="1">
      <c r="A53" s="1374" t="s">
        <v>523</v>
      </c>
      <c r="B53" s="1375"/>
      <c r="C53" s="1376"/>
      <c r="D53" s="30">
        <f>0.424*1.102</f>
        <v>0.46724800000000005</v>
      </c>
      <c r="Q53" s="2"/>
      <c r="R53" s="2"/>
      <c r="S53" s="2"/>
      <c r="T53" s="2"/>
      <c r="U53" s="2"/>
      <c r="V53" s="2"/>
      <c r="W53" s="2"/>
    </row>
    <row r="54" spans="1:23" ht="36.75" customHeight="1">
      <c r="A54" s="1402" t="s">
        <v>522</v>
      </c>
      <c r="B54" s="1403"/>
      <c r="C54" s="1404"/>
      <c r="D54" s="67">
        <f>-2.847*1.102</f>
        <v>-3.137394</v>
      </c>
      <c r="Q54" s="2"/>
      <c r="R54" s="2"/>
      <c r="S54" s="2"/>
      <c r="T54" s="2"/>
      <c r="U54" s="2"/>
      <c r="V54" s="2"/>
      <c r="W54" s="2"/>
    </row>
    <row r="55" spans="17:23" ht="12.75">
      <c r="Q55" s="2"/>
      <c r="R55" s="2"/>
      <c r="S55" s="2"/>
      <c r="T55" s="2"/>
      <c r="U55" s="2"/>
      <c r="V55" s="2"/>
      <c r="W55" s="2"/>
    </row>
    <row r="56" spans="1:23" ht="12.75">
      <c r="A56" s="56" t="s">
        <v>457</v>
      </c>
      <c r="B56" s="76" t="s">
        <v>458</v>
      </c>
      <c r="C56" s="38" t="s">
        <v>532</v>
      </c>
      <c r="D56" s="89" t="s">
        <v>535</v>
      </c>
      <c r="E56" s="92" t="s">
        <v>547</v>
      </c>
      <c r="Q56" s="2"/>
      <c r="R56" s="2"/>
      <c r="S56" s="2"/>
      <c r="T56" s="2"/>
      <c r="U56" s="2"/>
      <c r="V56" s="2"/>
      <c r="W56" s="2"/>
    </row>
    <row r="57" spans="1:23" ht="12.75">
      <c r="A57" s="27" t="s">
        <v>511</v>
      </c>
      <c r="B57" s="74">
        <v>0.034</v>
      </c>
      <c r="C57" s="75">
        <v>10</v>
      </c>
      <c r="D57" s="88"/>
      <c r="E57" s="93"/>
      <c r="Q57" s="2"/>
      <c r="R57" s="2"/>
      <c r="S57" s="2"/>
      <c r="T57" s="2"/>
      <c r="U57" s="2"/>
      <c r="V57" s="2"/>
      <c r="W57" s="2"/>
    </row>
    <row r="58" spans="1:23" ht="12.75">
      <c r="A58" s="28" t="s">
        <v>512</v>
      </c>
      <c r="B58" s="70">
        <v>0.1</v>
      </c>
      <c r="C58" s="41">
        <v>24</v>
      </c>
      <c r="D58" s="85"/>
      <c r="E58" s="91" t="s">
        <v>548</v>
      </c>
      <c r="Q58" s="2"/>
      <c r="R58" s="2"/>
      <c r="S58" s="2"/>
      <c r="T58" s="2"/>
      <c r="U58" s="2"/>
      <c r="V58" s="2"/>
      <c r="W58" s="2"/>
    </row>
    <row r="59" spans="1:23" ht="12.75">
      <c r="A59" s="1" t="s">
        <v>492</v>
      </c>
      <c r="B59" s="70">
        <f>31/1000</f>
        <v>0.031</v>
      </c>
      <c r="C59" s="41">
        <v>5.6</v>
      </c>
      <c r="D59" s="85"/>
      <c r="E59" s="91"/>
      <c r="Q59" s="2"/>
      <c r="R59" s="2"/>
      <c r="S59" s="2"/>
      <c r="T59" s="2"/>
      <c r="U59" s="2"/>
      <c r="V59" s="2"/>
      <c r="W59" s="2"/>
    </row>
    <row r="60" spans="1:23" ht="12.75">
      <c r="A60" s="1" t="s">
        <v>542</v>
      </c>
      <c r="B60" s="70">
        <f>121.25/500</f>
        <v>0.2425</v>
      </c>
      <c r="C60" s="41">
        <f>36.4/500*B5</f>
        <v>33.021352</v>
      </c>
      <c r="D60" s="85" t="s">
        <v>543</v>
      </c>
      <c r="E60" s="91" t="s">
        <v>544</v>
      </c>
      <c r="Q60" s="2"/>
      <c r="R60" s="2"/>
      <c r="S60" s="2"/>
      <c r="T60" s="2"/>
      <c r="U60" s="2"/>
      <c r="V60" s="2"/>
      <c r="W60" s="2"/>
    </row>
    <row r="61" spans="1:23" ht="12.75">
      <c r="A61" s="1" t="s">
        <v>545</v>
      </c>
      <c r="B61" s="70">
        <f>73/500</f>
        <v>0.146</v>
      </c>
      <c r="C61" s="41">
        <f>32.1/500*B5</f>
        <v>29.120478000000002</v>
      </c>
      <c r="D61" s="85" t="s">
        <v>546</v>
      </c>
      <c r="E61" s="91" t="s">
        <v>544</v>
      </c>
      <c r="Q61" s="2"/>
      <c r="R61" s="2"/>
      <c r="S61" s="2"/>
      <c r="T61" s="2"/>
      <c r="U61" s="2"/>
      <c r="V61" s="2"/>
      <c r="W61" s="2"/>
    </row>
    <row r="62" spans="1:23" ht="12.75">
      <c r="A62" s="49" t="s">
        <v>526</v>
      </c>
      <c r="B62" s="70">
        <f>19/1000</f>
        <v>0.019</v>
      </c>
      <c r="C62" s="41">
        <v>7.97</v>
      </c>
      <c r="D62" s="85" t="s">
        <v>539</v>
      </c>
      <c r="E62" s="91" t="s">
        <v>549</v>
      </c>
      <c r="Q62" s="2"/>
      <c r="R62" s="2"/>
      <c r="S62" s="2"/>
      <c r="T62" s="2"/>
      <c r="U62" s="2"/>
      <c r="V62" s="2"/>
      <c r="W62" s="2"/>
    </row>
    <row r="63" spans="1:23" ht="12.75">
      <c r="A63" s="49" t="s">
        <v>527</v>
      </c>
      <c r="B63" s="70">
        <f>11/1000</f>
        <v>0.011</v>
      </c>
      <c r="C63" s="41">
        <v>4.54</v>
      </c>
      <c r="D63" s="85" t="s">
        <v>540</v>
      </c>
      <c r="E63" s="91" t="s">
        <v>549</v>
      </c>
      <c r="Q63" s="2"/>
      <c r="R63" s="2"/>
      <c r="S63" s="2"/>
      <c r="T63" s="2"/>
      <c r="U63" s="2"/>
      <c r="V63" s="2"/>
      <c r="W63" s="2"/>
    </row>
    <row r="64" spans="1:23" ht="12.75">
      <c r="A64" s="49" t="s">
        <v>534</v>
      </c>
      <c r="B64" s="70">
        <f>11.77/500</f>
        <v>0.02354</v>
      </c>
      <c r="C64" s="41">
        <f>10.7/500*B5</f>
        <v>9.706826</v>
      </c>
      <c r="D64" s="85" t="s">
        <v>536</v>
      </c>
      <c r="E64" s="91" t="s">
        <v>549</v>
      </c>
      <c r="Q64" s="2"/>
      <c r="R64" s="2"/>
      <c r="S64" s="2"/>
      <c r="T64" s="2"/>
      <c r="U64" s="2"/>
      <c r="V64" s="2"/>
      <c r="W64" s="2"/>
    </row>
    <row r="65" spans="1:23" ht="12.75">
      <c r="A65" s="49" t="s">
        <v>1022</v>
      </c>
      <c r="B65" s="70">
        <f>11.31/500</f>
        <v>0.02262</v>
      </c>
      <c r="C65" s="41">
        <f>12.98/500*B5</f>
        <v>11.775196399999999</v>
      </c>
      <c r="D65" s="85" t="s">
        <v>537</v>
      </c>
      <c r="E65" s="91" t="s">
        <v>549</v>
      </c>
      <c r="Q65" s="2"/>
      <c r="R65" s="2"/>
      <c r="S65" s="2"/>
      <c r="T65" s="2"/>
      <c r="U65" s="2"/>
      <c r="V65" s="2"/>
      <c r="W65" s="2"/>
    </row>
    <row r="66" spans="1:23" ht="12.75">
      <c r="A66" s="49" t="s">
        <v>1023</v>
      </c>
      <c r="B66" s="70">
        <f>14.39/500</f>
        <v>0.02878</v>
      </c>
      <c r="C66" s="41">
        <f>17.15/500*B5</f>
        <v>15.558136999999999</v>
      </c>
      <c r="D66" s="85" t="s">
        <v>538</v>
      </c>
      <c r="E66" s="91" t="s">
        <v>549</v>
      </c>
      <c r="Q66" s="2"/>
      <c r="R66" s="2"/>
      <c r="S66" s="2"/>
      <c r="T66" s="2"/>
      <c r="U66" s="2"/>
      <c r="V66" s="2"/>
      <c r="W66" s="2"/>
    </row>
    <row r="67" spans="1:23" ht="12.75">
      <c r="A67" s="1" t="s">
        <v>525</v>
      </c>
      <c r="B67" s="70">
        <f>18/500</f>
        <v>0.036</v>
      </c>
      <c r="C67" s="41">
        <v>20</v>
      </c>
      <c r="D67" s="85"/>
      <c r="E67" s="91"/>
      <c r="Q67" s="2"/>
      <c r="R67" s="2"/>
      <c r="S67" s="2"/>
      <c r="T67" s="2"/>
      <c r="U67" s="2"/>
      <c r="V67" s="2"/>
      <c r="W67" s="2"/>
    </row>
    <row r="68" spans="1:23" ht="25.5">
      <c r="A68" s="28" t="s">
        <v>524</v>
      </c>
      <c r="B68" s="70">
        <v>0.1</v>
      </c>
      <c r="C68" s="41">
        <v>46</v>
      </c>
      <c r="D68" s="85"/>
      <c r="E68" s="91" t="s">
        <v>548</v>
      </c>
      <c r="Q68" s="2"/>
      <c r="R68" s="2"/>
      <c r="S68" s="2"/>
      <c r="T68" s="2"/>
      <c r="U68" s="2"/>
      <c r="V68" s="2"/>
      <c r="W68" s="2"/>
    </row>
    <row r="69" spans="1:23" ht="12.75">
      <c r="A69" s="1" t="s">
        <v>530</v>
      </c>
      <c r="B69" s="70">
        <f>14.04/500</f>
        <v>0.028079999999999997</v>
      </c>
      <c r="C69" s="41">
        <v>5</v>
      </c>
      <c r="D69" s="85"/>
      <c r="E69" s="91"/>
      <c r="Q69" s="2"/>
      <c r="R69" s="2"/>
      <c r="S69" s="2"/>
      <c r="T69" s="2"/>
      <c r="U69" s="2"/>
      <c r="V69" s="2"/>
      <c r="W69" s="2"/>
    </row>
    <row r="70" spans="1:23" ht="12.75">
      <c r="A70" s="28" t="s">
        <v>528</v>
      </c>
      <c r="B70" s="70">
        <f>50.87/6000</f>
        <v>0.008478333333333333</v>
      </c>
      <c r="C70" s="41">
        <v>1</v>
      </c>
      <c r="D70" s="85"/>
      <c r="E70" s="91"/>
      <c r="Q70" s="2"/>
      <c r="R70" s="2"/>
      <c r="S70" s="2"/>
      <c r="T70" s="2"/>
      <c r="U70" s="2"/>
      <c r="V70" s="2"/>
      <c r="W70" s="2"/>
    </row>
    <row r="71" spans="1:23" ht="12.75">
      <c r="A71" s="72" t="s">
        <v>529</v>
      </c>
      <c r="B71" s="70">
        <v>0.03</v>
      </c>
      <c r="C71" s="41">
        <v>24</v>
      </c>
      <c r="D71" s="85"/>
      <c r="E71" s="91"/>
      <c r="Q71" s="2"/>
      <c r="R71" s="2"/>
      <c r="S71" s="2"/>
      <c r="T71" s="2"/>
      <c r="U71" s="2"/>
      <c r="V71" s="2"/>
      <c r="W71" s="2"/>
    </row>
    <row r="72" spans="1:23" ht="25.5">
      <c r="A72" s="73" t="s">
        <v>519</v>
      </c>
      <c r="B72" s="70">
        <v>0.0375</v>
      </c>
      <c r="C72" s="41">
        <f>C66</f>
        <v>15.558136999999999</v>
      </c>
      <c r="D72" s="86" t="s">
        <v>541</v>
      </c>
      <c r="E72" s="91"/>
      <c r="Q72" s="2"/>
      <c r="R72" s="2"/>
      <c r="S72" s="2"/>
      <c r="T72" s="2"/>
      <c r="U72" s="2"/>
      <c r="V72" s="2"/>
      <c r="W72" s="2"/>
    </row>
    <row r="73" spans="1:23" ht="25.5">
      <c r="A73" s="72" t="s">
        <v>520</v>
      </c>
      <c r="B73" s="70">
        <v>0.01</v>
      </c>
      <c r="C73" s="41">
        <v>4.54</v>
      </c>
      <c r="D73" s="86" t="s">
        <v>533</v>
      </c>
      <c r="E73" s="91"/>
      <c r="G73" s="6"/>
      <c r="Q73" s="2"/>
      <c r="R73" s="2"/>
      <c r="S73" s="2"/>
      <c r="T73" s="2"/>
      <c r="U73" s="2"/>
      <c r="V73" s="2"/>
      <c r="W73" s="2"/>
    </row>
    <row r="74" spans="1:23" ht="12.75">
      <c r="A74" s="28" t="s">
        <v>498</v>
      </c>
      <c r="B74" s="70">
        <f>30/1000</f>
        <v>0.03</v>
      </c>
      <c r="C74" s="84">
        <v>6.8</v>
      </c>
      <c r="D74" s="85"/>
      <c r="E74" s="91" t="s">
        <v>548</v>
      </c>
      <c r="G74" s="6"/>
      <c r="Q74" s="2"/>
      <c r="R74" s="2"/>
      <c r="S74" s="2"/>
      <c r="T74" s="2"/>
      <c r="U74" s="2"/>
      <c r="V74" s="2"/>
      <c r="W74" s="2"/>
    </row>
    <row r="75" spans="1:23" ht="12.75">
      <c r="A75" s="28" t="s">
        <v>610</v>
      </c>
      <c r="B75" s="70">
        <v>41</v>
      </c>
      <c r="C75" s="41" t="s">
        <v>517</v>
      </c>
      <c r="D75" s="85"/>
      <c r="E75" s="91"/>
      <c r="G75" s="6"/>
      <c r="Q75" s="2"/>
      <c r="R75" s="2"/>
      <c r="S75" s="2"/>
      <c r="T75" s="2"/>
      <c r="U75" s="2"/>
      <c r="V75" s="2"/>
      <c r="W75" s="2"/>
    </row>
    <row r="76" spans="1:23" ht="25.5">
      <c r="A76" s="28" t="s">
        <v>611</v>
      </c>
      <c r="B76" s="70">
        <v>45.81</v>
      </c>
      <c r="C76" s="41" t="s">
        <v>517</v>
      </c>
      <c r="D76" s="85"/>
      <c r="E76" s="91"/>
      <c r="G76" s="29"/>
      <c r="Q76" s="2"/>
      <c r="R76" s="2"/>
      <c r="S76" s="2"/>
      <c r="T76" s="2"/>
      <c r="U76" s="2"/>
      <c r="V76" s="2"/>
      <c r="W76" s="2"/>
    </row>
    <row r="77" spans="1:23" ht="25.5">
      <c r="A77" s="35" t="s">
        <v>612</v>
      </c>
      <c r="B77" s="71">
        <v>63</v>
      </c>
      <c r="C77" s="42" t="s">
        <v>517</v>
      </c>
      <c r="D77" s="87"/>
      <c r="E77" s="94"/>
      <c r="G77" s="6"/>
      <c r="Q77" s="2"/>
      <c r="R77" s="2"/>
      <c r="S77" s="2"/>
      <c r="T77" s="2"/>
      <c r="U77" s="2"/>
      <c r="V77" s="2"/>
      <c r="W77" s="2"/>
    </row>
    <row r="78" spans="2:23" ht="12.75">
      <c r="B78" s="43"/>
      <c r="G78" s="6"/>
      <c r="Q78" s="2"/>
      <c r="R78" s="2"/>
      <c r="S78" s="2"/>
      <c r="T78" s="2"/>
      <c r="U78" s="2"/>
      <c r="V78" s="2"/>
      <c r="W78" s="2"/>
    </row>
    <row r="79" spans="1:23" ht="12.75">
      <c r="A79" s="37" t="s">
        <v>506</v>
      </c>
      <c r="B79" s="43"/>
      <c r="Q79" s="2"/>
      <c r="R79" s="2"/>
      <c r="S79" s="2"/>
      <c r="T79" s="2"/>
      <c r="U79" s="2"/>
      <c r="V79" s="2"/>
      <c r="W79" s="2"/>
    </row>
    <row r="80" spans="1:23" ht="25.5">
      <c r="A80" s="34" t="s">
        <v>668</v>
      </c>
      <c r="B80" s="90">
        <v>0.196</v>
      </c>
      <c r="C80" s="40" t="s">
        <v>518</v>
      </c>
      <c r="Q80" s="2"/>
      <c r="R80" s="2"/>
      <c r="S80" s="2"/>
      <c r="T80" s="2"/>
      <c r="U80" s="2"/>
      <c r="V80" s="2"/>
      <c r="W80" s="2"/>
    </row>
    <row r="81" spans="1:23" ht="12.75">
      <c r="A81" s="28" t="s">
        <v>507</v>
      </c>
      <c r="B81" s="82">
        <v>175</v>
      </c>
      <c r="C81" s="41" t="s">
        <v>508</v>
      </c>
      <c r="Q81" s="2"/>
      <c r="R81" s="2"/>
      <c r="S81" s="2"/>
      <c r="T81" s="2"/>
      <c r="U81" s="2"/>
      <c r="V81" s="2"/>
      <c r="W81" s="2"/>
    </row>
    <row r="82" spans="1:23" ht="12.75">
      <c r="A82" s="28" t="s">
        <v>614</v>
      </c>
      <c r="B82" s="1189">
        <v>38</v>
      </c>
      <c r="C82" s="41" t="s">
        <v>615</v>
      </c>
      <c r="D82" s="1190" t="s">
        <v>402</v>
      </c>
      <c r="Q82" s="2"/>
      <c r="R82" s="2"/>
      <c r="S82" s="2"/>
      <c r="T82" s="2"/>
      <c r="U82" s="2"/>
      <c r="V82" s="2"/>
      <c r="W82" s="2"/>
    </row>
    <row r="83" spans="1:23" ht="12.75">
      <c r="A83" s="28" t="s">
        <v>609</v>
      </c>
      <c r="B83" s="82">
        <v>50</v>
      </c>
      <c r="C83" s="41" t="s">
        <v>454</v>
      </c>
      <c r="Q83" s="2"/>
      <c r="R83" s="2"/>
      <c r="S83" s="2"/>
      <c r="T83" s="2"/>
      <c r="U83" s="2"/>
      <c r="V83" s="2"/>
      <c r="W83" s="2"/>
    </row>
    <row r="84" spans="1:23" ht="12.75">
      <c r="A84" s="35" t="s">
        <v>666</v>
      </c>
      <c r="B84" s="83">
        <v>17</v>
      </c>
      <c r="C84" s="42" t="s">
        <v>667</v>
      </c>
      <c r="Q84" s="2"/>
      <c r="R84" s="2"/>
      <c r="S84" s="2"/>
      <c r="T84" s="2"/>
      <c r="U84" s="2"/>
      <c r="V84" s="2"/>
      <c r="W84" s="2"/>
    </row>
    <row r="85" spans="1:22" ht="28.5" customHeight="1">
      <c r="A85" s="1401" t="s">
        <v>673</v>
      </c>
      <c r="B85" s="1401"/>
      <c r="C85" s="1401"/>
      <c r="D85" s="1401"/>
      <c r="E85" s="1401"/>
      <c r="V85" s="2"/>
    </row>
    <row r="86" spans="1:5" ht="15" customHeight="1">
      <c r="A86" s="44"/>
      <c r="B86" s="44"/>
      <c r="C86" s="44"/>
      <c r="D86" s="44"/>
      <c r="E86" s="44"/>
    </row>
    <row r="87" spans="1:8" ht="25.5">
      <c r="A87" s="46" t="s">
        <v>616</v>
      </c>
      <c r="B87" s="104"/>
      <c r="C87" s="105"/>
      <c r="F87" s="45"/>
      <c r="G87" s="45"/>
      <c r="H87" s="45"/>
    </row>
    <row r="88" spans="1:8" ht="12.75">
      <c r="A88" s="106" t="s">
        <v>617</v>
      </c>
      <c r="B88" s="107">
        <v>18</v>
      </c>
      <c r="C88" s="9" t="s">
        <v>618</v>
      </c>
      <c r="F88" s="44"/>
      <c r="G88" s="1034"/>
      <c r="H88" s="105"/>
    </row>
    <row r="89" spans="1:8" ht="12.75">
      <c r="A89" s="108" t="s">
        <v>617</v>
      </c>
      <c r="B89" s="63">
        <v>32</v>
      </c>
      <c r="C89" s="109" t="s">
        <v>619</v>
      </c>
      <c r="F89" s="44"/>
      <c r="G89" s="104"/>
      <c r="H89" s="105"/>
    </row>
    <row r="90" spans="1:8" ht="12.75">
      <c r="A90" s="108" t="s">
        <v>620</v>
      </c>
      <c r="B90" s="63">
        <v>12000</v>
      </c>
      <c r="C90" s="109" t="s">
        <v>516</v>
      </c>
      <c r="F90" s="44"/>
      <c r="G90" s="104"/>
      <c r="H90" s="105"/>
    </row>
    <row r="91" spans="1:8" ht="12.75">
      <c r="A91" s="108" t="s">
        <v>621</v>
      </c>
      <c r="B91" s="63">
        <v>7.4</v>
      </c>
      <c r="C91" s="109" t="s">
        <v>622</v>
      </c>
      <c r="F91" s="44"/>
      <c r="G91" s="104"/>
      <c r="H91" s="105"/>
    </row>
    <row r="92" spans="1:8" ht="25.5">
      <c r="A92" s="108" t="s">
        <v>623</v>
      </c>
      <c r="B92" s="63">
        <v>3</v>
      </c>
      <c r="C92" s="109" t="s">
        <v>624</v>
      </c>
      <c r="F92" s="44"/>
      <c r="G92" s="104"/>
      <c r="H92" s="105"/>
    </row>
    <row r="93" spans="1:3" ht="25.5">
      <c r="A93" s="108" t="s">
        <v>625</v>
      </c>
      <c r="B93" s="63">
        <v>13.714</v>
      </c>
      <c r="C93" s="109" t="s">
        <v>624</v>
      </c>
    </row>
    <row r="94" spans="1:3" ht="12.75">
      <c r="A94" s="108" t="s">
        <v>626</v>
      </c>
      <c r="B94" s="63">
        <v>14000</v>
      </c>
      <c r="C94" s="109" t="s">
        <v>627</v>
      </c>
    </row>
    <row r="95" spans="1:3" ht="12.75">
      <c r="A95" s="110" t="s">
        <v>626</v>
      </c>
      <c r="B95" s="111">
        <f>40*42</f>
        <v>1680</v>
      </c>
      <c r="C95" s="112" t="s">
        <v>628</v>
      </c>
    </row>
    <row r="96" spans="1:3" ht="12.75">
      <c r="A96"/>
      <c r="B96"/>
      <c r="C96"/>
    </row>
    <row r="97" spans="1:4" ht="12.75">
      <c r="A97" s="113" t="s">
        <v>629</v>
      </c>
      <c r="B97" s="114"/>
      <c r="C97" s="115"/>
      <c r="D97" s="116"/>
    </row>
    <row r="98" spans="1:4" ht="12.75">
      <c r="A98" s="117" t="s">
        <v>630</v>
      </c>
      <c r="B98" s="118">
        <v>350</v>
      </c>
      <c r="C98" s="119" t="s">
        <v>631</v>
      </c>
      <c r="D98" s="116"/>
    </row>
    <row r="99" spans="1:4" ht="12.75">
      <c r="A99" s="120" t="s">
        <v>632</v>
      </c>
      <c r="B99" s="121">
        <v>375</v>
      </c>
      <c r="C99" s="119" t="s">
        <v>631</v>
      </c>
      <c r="D99" s="116"/>
    </row>
    <row r="100" spans="1:4" ht="12.75">
      <c r="A100" s="122" t="s">
        <v>633</v>
      </c>
      <c r="B100" s="123">
        <v>250</v>
      </c>
      <c r="C100" s="124" t="s">
        <v>631</v>
      </c>
      <c r="D100" s="116"/>
    </row>
    <row r="101" spans="1:4" ht="12.75">
      <c r="A101" s="125"/>
      <c r="B101" s="126"/>
      <c r="C101" s="127"/>
      <c r="D101" s="116"/>
    </row>
    <row r="102" spans="1:4" ht="12.75">
      <c r="A102" s="128" t="s">
        <v>634</v>
      </c>
      <c r="B102" s="129"/>
      <c r="C102" s="129"/>
      <c r="D102" s="130"/>
    </row>
    <row r="103" spans="1:4" ht="12.75">
      <c r="A103" s="131"/>
      <c r="B103" s="132" t="s">
        <v>635</v>
      </c>
      <c r="C103" s="133">
        <v>350</v>
      </c>
      <c r="D103" s="134" t="s">
        <v>636</v>
      </c>
    </row>
    <row r="104" spans="1:4" ht="12.75">
      <c r="A104" s="131"/>
      <c r="B104" s="132" t="s">
        <v>637</v>
      </c>
      <c r="C104" s="135">
        <v>0.8</v>
      </c>
      <c r="D104" s="134"/>
    </row>
    <row r="105" spans="1:4" ht="12.75">
      <c r="A105" s="131"/>
      <c r="B105" s="132" t="s">
        <v>638</v>
      </c>
      <c r="C105" s="135">
        <v>0.1</v>
      </c>
      <c r="D105" s="134"/>
    </row>
    <row r="106" spans="1:4" ht="12.75" customHeight="1">
      <c r="A106" s="131"/>
      <c r="B106" s="132" t="s">
        <v>639</v>
      </c>
      <c r="C106" s="136">
        <v>245</v>
      </c>
      <c r="D106" s="134" t="s">
        <v>636</v>
      </c>
    </row>
    <row r="107" spans="1:4" ht="12.75">
      <c r="A107" s="131"/>
      <c r="B107" s="132"/>
      <c r="C107" s="137"/>
      <c r="D107" s="134"/>
    </row>
    <row r="108" spans="1:4" ht="12.75" customHeight="1">
      <c r="A108" s="138" t="s">
        <v>640</v>
      </c>
      <c r="B108" s="132"/>
      <c r="C108" s="139"/>
      <c r="D108" s="134"/>
    </row>
    <row r="109" spans="1:4" ht="12.75">
      <c r="A109" s="117"/>
      <c r="B109" s="132" t="s">
        <v>635</v>
      </c>
      <c r="C109" s="140">
        <v>375</v>
      </c>
      <c r="D109" s="141" t="s">
        <v>636</v>
      </c>
    </row>
    <row r="110" spans="1:4" ht="12.75" customHeight="1">
      <c r="A110" s="117"/>
      <c r="B110" s="132" t="s">
        <v>637</v>
      </c>
      <c r="C110" s="135">
        <v>0.9</v>
      </c>
      <c r="D110" s="141"/>
    </row>
    <row r="111" spans="1:4" ht="12.75" customHeight="1">
      <c r="A111" s="117"/>
      <c r="B111" s="132" t="s">
        <v>638</v>
      </c>
      <c r="C111" s="135"/>
      <c r="D111" s="141"/>
    </row>
    <row r="112" spans="1:4" ht="25.5" customHeight="1">
      <c r="A112" s="117"/>
      <c r="B112" s="132" t="s">
        <v>639</v>
      </c>
      <c r="C112" s="136">
        <v>337.5</v>
      </c>
      <c r="D112" s="141" t="s">
        <v>636</v>
      </c>
    </row>
    <row r="113" spans="1:4" ht="12.75" customHeight="1">
      <c r="A113" s="117"/>
      <c r="B113" s="142"/>
      <c r="C113" s="143"/>
      <c r="D113" s="141"/>
    </row>
    <row r="114" spans="1:4" ht="12.75">
      <c r="A114" s="144" t="s">
        <v>641</v>
      </c>
      <c r="B114" s="142"/>
      <c r="C114" s="143"/>
      <c r="D114" s="141"/>
    </row>
    <row r="115" spans="1:4" ht="12.75">
      <c r="A115" s="117"/>
      <c r="B115" s="132" t="s">
        <v>635</v>
      </c>
      <c r="C115" s="140">
        <v>250</v>
      </c>
      <c r="D115" s="141" t="s">
        <v>636</v>
      </c>
    </row>
    <row r="116" spans="1:4" ht="25.5" customHeight="1">
      <c r="A116" s="117"/>
      <c r="B116" s="132" t="s">
        <v>637</v>
      </c>
      <c r="C116" s="135"/>
      <c r="D116" s="141"/>
    </row>
    <row r="117" spans="1:4" ht="12.75" customHeight="1">
      <c r="A117" s="117"/>
      <c r="B117" s="132" t="s">
        <v>638</v>
      </c>
      <c r="C117" s="135"/>
      <c r="D117" s="141"/>
    </row>
    <row r="118" spans="1:4" ht="12.75" customHeight="1">
      <c r="A118" s="122"/>
      <c r="B118" s="145" t="s">
        <v>639</v>
      </c>
      <c r="C118" s="146">
        <v>250</v>
      </c>
      <c r="D118" s="147" t="s">
        <v>636</v>
      </c>
    </row>
    <row r="119" spans="1:4" ht="12.75" customHeight="1">
      <c r="A119" s="121"/>
      <c r="B119" s="148"/>
      <c r="C119" s="149"/>
      <c r="D119" s="121"/>
    </row>
    <row r="120" spans="1:4" ht="38.25" customHeight="1">
      <c r="A120" s="150" t="s">
        <v>642</v>
      </c>
      <c r="B120" s="116"/>
      <c r="C120" s="116"/>
      <c r="D120" s="116"/>
    </row>
    <row r="121" spans="1:4" ht="12.75" customHeight="1">
      <c r="A121" s="151" t="s">
        <v>643</v>
      </c>
      <c r="B121" s="152" t="s">
        <v>644</v>
      </c>
      <c r="C121" s="152" t="s">
        <v>645</v>
      </c>
      <c r="D121" s="153" t="s">
        <v>646</v>
      </c>
    </row>
    <row r="122" spans="1:4" ht="25.5" customHeight="1">
      <c r="A122" s="117" t="s">
        <v>647</v>
      </c>
      <c r="B122" s="154"/>
      <c r="C122" s="154"/>
      <c r="D122" s="119">
        <v>0.5423076923076923</v>
      </c>
    </row>
    <row r="123" spans="1:4" ht="12.75">
      <c r="A123" s="117" t="s">
        <v>648</v>
      </c>
      <c r="B123" s="154"/>
      <c r="C123" s="154"/>
      <c r="D123" s="119">
        <v>0.18076923076923077</v>
      </c>
    </row>
    <row r="124" spans="1:4" ht="25.5" customHeight="1">
      <c r="A124" s="117" t="s">
        <v>649</v>
      </c>
      <c r="B124" s="154">
        <v>0.47</v>
      </c>
      <c r="C124" s="154">
        <v>0.7230769230769231</v>
      </c>
      <c r="D124" s="141"/>
    </row>
    <row r="125" spans="1:4" ht="12.75">
      <c r="A125" s="117" t="s">
        <v>650</v>
      </c>
      <c r="B125" s="154">
        <v>0.02</v>
      </c>
      <c r="C125" s="154">
        <v>0.030769230769230767</v>
      </c>
      <c r="D125" s="141"/>
    </row>
    <row r="126" spans="1:4" ht="12.75">
      <c r="A126" s="117" t="s">
        <v>651</v>
      </c>
      <c r="B126" s="154">
        <v>0.04</v>
      </c>
      <c r="C126" s="154">
        <v>0.061538461538461535</v>
      </c>
      <c r="D126" s="141"/>
    </row>
    <row r="127" spans="1:4" ht="12.75">
      <c r="A127" s="117" t="s">
        <v>652</v>
      </c>
      <c r="B127" s="154">
        <v>0.12</v>
      </c>
      <c r="C127" s="154">
        <v>0.1846153846153846</v>
      </c>
      <c r="D127" s="141"/>
    </row>
    <row r="128" spans="1:4" ht="25.5" customHeight="1">
      <c r="A128" s="117" t="s">
        <v>653</v>
      </c>
      <c r="B128" s="154">
        <v>0.32</v>
      </c>
      <c r="C128" s="154"/>
      <c r="D128" s="141"/>
    </row>
    <row r="129" spans="1:4" ht="12.75">
      <c r="A129" s="117" t="s">
        <v>654</v>
      </c>
      <c r="B129" s="154">
        <v>0.03</v>
      </c>
      <c r="C129" s="154"/>
      <c r="D129" s="141"/>
    </row>
    <row r="130" spans="1:4" ht="12.75" customHeight="1">
      <c r="A130" s="122" t="s">
        <v>655</v>
      </c>
      <c r="B130" s="155">
        <v>0.65</v>
      </c>
      <c r="C130" s="155"/>
      <c r="D130" s="147"/>
    </row>
    <row r="131" spans="1:4" ht="12.75">
      <c r="A131" s="156" t="s">
        <v>656</v>
      </c>
      <c r="B131" s="157"/>
      <c r="C131" s="157"/>
      <c r="D131" s="156"/>
    </row>
    <row r="132" ht="25.5" customHeight="1"/>
    <row r="133" spans="1:2" ht="25.5">
      <c r="A133" s="106"/>
      <c r="B133" s="158" t="s">
        <v>657</v>
      </c>
    </row>
    <row r="134" spans="1:2" ht="25.5" customHeight="1">
      <c r="A134" s="159" t="s">
        <v>658</v>
      </c>
      <c r="B134" s="160" t="s">
        <v>659</v>
      </c>
    </row>
    <row r="135" spans="1:2" ht="12.75">
      <c r="A135" s="159" t="s">
        <v>660</v>
      </c>
      <c r="B135" s="160" t="s">
        <v>661</v>
      </c>
    </row>
    <row r="136" spans="1:2" ht="12.75">
      <c r="A136" s="159" t="s">
        <v>662</v>
      </c>
      <c r="B136" s="160" t="s">
        <v>663</v>
      </c>
    </row>
    <row r="137" spans="1:2" ht="12.75">
      <c r="A137" s="161" t="s">
        <v>664</v>
      </c>
      <c r="B137" s="162" t="s">
        <v>665</v>
      </c>
    </row>
    <row r="138" ht="12.75"/>
    <row r="139" ht="12.75"/>
    <row r="140" spans="1:3" ht="12.75">
      <c r="A140" s="163" t="s">
        <v>670</v>
      </c>
      <c r="B140" s="164">
        <f>41.65/7000</f>
        <v>0.0059499999999999996</v>
      </c>
      <c r="C140" s="165" t="s">
        <v>671</v>
      </c>
    </row>
    <row r="141" ht="25.5">
      <c r="A141" s="5" t="s">
        <v>672</v>
      </c>
    </row>
    <row r="142" ht="12.75"/>
    <row r="143" ht="12.75"/>
    <row r="144" ht="12.75"/>
    <row r="145" spans="1:18" ht="15.75">
      <c r="A145" s="349" t="s">
        <v>927</v>
      </c>
      <c r="B145" s="342"/>
      <c r="C145" s="342"/>
      <c r="D145" s="169"/>
      <c r="E145" s="169"/>
      <c r="R145" s="1211"/>
    </row>
    <row r="146" spans="1:19" ht="12.75">
      <c r="A146" s="348" t="s">
        <v>873</v>
      </c>
      <c r="B146" s="1191">
        <v>453.59237</v>
      </c>
      <c r="C146" s="169"/>
      <c r="D146" s="169"/>
      <c r="E146" s="169"/>
      <c r="R146" s="1211"/>
      <c r="S146" s="2"/>
    </row>
    <row r="147" spans="1:19" ht="12.75">
      <c r="A147" s="348" t="s">
        <v>872</v>
      </c>
      <c r="B147" s="1193">
        <f>B150/1000</f>
        <v>2.2046226200000003</v>
      </c>
      <c r="C147" s="169"/>
      <c r="D147" s="169"/>
      <c r="E147" s="169"/>
      <c r="R147" s="1211"/>
      <c r="S147" s="2"/>
    </row>
    <row r="148" spans="1:19" ht="12.75">
      <c r="A148" s="348" t="s">
        <v>871</v>
      </c>
      <c r="B148" s="1191">
        <v>1.609344</v>
      </c>
      <c r="C148" s="169"/>
      <c r="D148" s="169"/>
      <c r="E148" s="169"/>
      <c r="R148" s="1211"/>
      <c r="S148" s="2"/>
    </row>
    <row r="149" spans="1:19" ht="12.75">
      <c r="A149" s="348" t="s">
        <v>870</v>
      </c>
      <c r="B149" s="1193">
        <v>3.78541178</v>
      </c>
      <c r="C149" s="169"/>
      <c r="D149" s="169"/>
      <c r="E149" s="169"/>
      <c r="R149" s="1211"/>
      <c r="S149" s="2"/>
    </row>
    <row r="150" spans="1:19" ht="12.75">
      <c r="A150" s="348" t="s">
        <v>869</v>
      </c>
      <c r="B150" s="1191">
        <v>2204.62262</v>
      </c>
      <c r="C150" s="169"/>
      <c r="D150" s="169"/>
      <c r="E150" s="169"/>
      <c r="R150" s="1211"/>
      <c r="S150" s="2"/>
    </row>
    <row r="151" spans="1:19" ht="12.75">
      <c r="A151" s="348" t="s">
        <v>868</v>
      </c>
      <c r="B151" s="1193">
        <v>25</v>
      </c>
      <c r="C151" s="169"/>
      <c r="D151" s="169"/>
      <c r="E151" s="169"/>
      <c r="R151" s="1211"/>
      <c r="S151" s="2"/>
    </row>
    <row r="152" spans="1:19" ht="12.75">
      <c r="A152" s="348" t="s">
        <v>867</v>
      </c>
      <c r="B152" s="1193">
        <v>298</v>
      </c>
      <c r="C152" s="169"/>
      <c r="D152" s="169"/>
      <c r="E152" s="169"/>
      <c r="R152" s="1211"/>
      <c r="S152" s="2"/>
    </row>
    <row r="153" spans="1:19" ht="12.75">
      <c r="A153" s="348" t="s">
        <v>866</v>
      </c>
      <c r="B153" s="1193">
        <v>15.99</v>
      </c>
      <c r="C153" s="169"/>
      <c r="D153" s="169"/>
      <c r="E153" s="169"/>
      <c r="R153" s="1211"/>
      <c r="S153" s="2"/>
    </row>
    <row r="154" spans="1:19" ht="12.75">
      <c r="A154" s="348" t="s">
        <v>865</v>
      </c>
      <c r="B154" s="1193">
        <v>12.011</v>
      </c>
      <c r="C154" s="169"/>
      <c r="D154" s="169"/>
      <c r="E154" s="169"/>
      <c r="R154" s="1211"/>
      <c r="S154" s="2"/>
    </row>
    <row r="155" spans="1:19" ht="12.75">
      <c r="A155" s="348" t="s">
        <v>864</v>
      </c>
      <c r="B155" s="1193">
        <v>1000000</v>
      </c>
      <c r="C155" s="169"/>
      <c r="D155" s="169"/>
      <c r="E155" s="169"/>
      <c r="R155" s="1211"/>
      <c r="S155" s="2"/>
    </row>
    <row r="156" spans="1:19" ht="12.75">
      <c r="A156" s="348" t="s">
        <v>863</v>
      </c>
      <c r="B156" s="1193">
        <v>1000</v>
      </c>
      <c r="C156" s="169"/>
      <c r="D156" s="169"/>
      <c r="E156" s="169"/>
      <c r="R156" s="1211"/>
      <c r="S156" s="2"/>
    </row>
    <row r="157" spans="1:19" ht="12.75">
      <c r="A157" s="348" t="s">
        <v>862</v>
      </c>
      <c r="B157" s="1193">
        <v>1000</v>
      </c>
      <c r="C157" s="169"/>
      <c r="D157" s="169"/>
      <c r="E157" s="169"/>
      <c r="R157" s="1211"/>
      <c r="S157" s="2"/>
    </row>
    <row r="158" spans="1:19" ht="12.75">
      <c r="A158" s="348" t="s">
        <v>861</v>
      </c>
      <c r="B158" s="1193">
        <v>1.609344</v>
      </c>
      <c r="C158" s="169"/>
      <c r="D158" s="169"/>
      <c r="E158" s="169"/>
      <c r="R158" s="1211"/>
      <c r="S158" s="2"/>
    </row>
    <row r="159" spans="1:19" ht="12.75">
      <c r="A159" s="348" t="s">
        <v>860</v>
      </c>
      <c r="B159" s="1193">
        <v>0.621371192</v>
      </c>
      <c r="C159" s="169"/>
      <c r="D159" s="169"/>
      <c r="E159" s="169"/>
      <c r="R159" s="1211"/>
      <c r="S159" s="2"/>
    </row>
    <row r="160" spans="1:19" ht="31.5">
      <c r="A160" s="347" t="s">
        <v>859</v>
      </c>
      <c r="B160" s="1191">
        <v>25</v>
      </c>
      <c r="C160" s="1364" t="s">
        <v>857</v>
      </c>
      <c r="D160" s="1365"/>
      <c r="E160" s="169"/>
      <c r="R160" s="1211"/>
      <c r="S160" s="2"/>
    </row>
    <row r="161" spans="1:19" ht="31.5">
      <c r="A161" s="347" t="s">
        <v>858</v>
      </c>
      <c r="B161" s="1191">
        <v>298</v>
      </c>
      <c r="C161" s="1364" t="s">
        <v>857</v>
      </c>
      <c r="D161" s="1365"/>
      <c r="E161" s="169"/>
      <c r="R161" s="1211"/>
      <c r="S161" s="2"/>
    </row>
    <row r="162" spans="1:19" ht="12.75">
      <c r="A162" s="346" t="s">
        <v>856</v>
      </c>
      <c r="B162" s="1193">
        <v>0.13020400000000001</v>
      </c>
      <c r="C162" s="1364" t="s">
        <v>854</v>
      </c>
      <c r="D162" s="1365"/>
      <c r="E162" s="169"/>
      <c r="R162" s="1211"/>
      <c r="S162" s="2"/>
    </row>
    <row r="163" spans="1:19" ht="12.75">
      <c r="A163" s="346" t="s">
        <v>855</v>
      </c>
      <c r="B163" s="1194">
        <v>69.25</v>
      </c>
      <c r="C163" s="1364" t="s">
        <v>854</v>
      </c>
      <c r="D163" s="1365"/>
      <c r="E163" s="169"/>
      <c r="R163" s="1211"/>
      <c r="S163" s="2"/>
    </row>
    <row r="164" spans="1:5" ht="12.75">
      <c r="A164" s="184"/>
      <c r="B164" s="345"/>
      <c r="C164" s="184"/>
      <c r="D164" s="169"/>
      <c r="E164" s="169"/>
    </row>
    <row r="165" spans="1:5" ht="15.75">
      <c r="A165" s="344" t="s">
        <v>506</v>
      </c>
      <c r="B165" s="343"/>
      <c r="C165" s="342"/>
      <c r="D165" s="169"/>
      <c r="E165" s="169"/>
    </row>
    <row r="166" spans="1:18" ht="52.5">
      <c r="A166" s="308" t="s">
        <v>853</v>
      </c>
      <c r="B166" s="1192">
        <v>0.196</v>
      </c>
      <c r="C166" s="341" t="s">
        <v>518</v>
      </c>
      <c r="D166" s="1023" t="s">
        <v>1011</v>
      </c>
      <c r="E166" s="1198">
        <f>1/0.00682</f>
        <v>146.6275659824047</v>
      </c>
      <c r="R166" s="1212"/>
    </row>
    <row r="167" spans="1:5" ht="14.25">
      <c r="A167" s="305" t="s">
        <v>507</v>
      </c>
      <c r="B167" s="1195">
        <v>175</v>
      </c>
      <c r="C167" s="340" t="s">
        <v>508</v>
      </c>
      <c r="D167" s="1024" t="s">
        <v>1018</v>
      </c>
      <c r="E167" s="1197">
        <f>1000/111</f>
        <v>9.00900900900901</v>
      </c>
    </row>
    <row r="168" spans="1:5" ht="12.75">
      <c r="A168" s="303" t="s">
        <v>614</v>
      </c>
      <c r="B168" s="1196">
        <f>(B167+10)/5</f>
        <v>37</v>
      </c>
      <c r="C168" s="1025" t="s">
        <v>615</v>
      </c>
      <c r="D168" s="169"/>
      <c r="E168" s="169"/>
    </row>
    <row r="171" spans="1:11" ht="12.75">
      <c r="A171" s="169" t="s">
        <v>852</v>
      </c>
      <c r="B171" s="169" t="s">
        <v>851</v>
      </c>
      <c r="C171" s="169"/>
      <c r="D171" s="169"/>
      <c r="E171" s="169" t="s">
        <v>850</v>
      </c>
      <c r="F171" s="169"/>
      <c r="G171" s="302"/>
      <c r="H171" s="302"/>
      <c r="I171" s="169"/>
      <c r="J171" s="169"/>
      <c r="K171" s="169"/>
    </row>
    <row r="172" spans="1:11" ht="12.75">
      <c r="A172" s="339" t="s">
        <v>845</v>
      </c>
      <c r="B172" s="1200">
        <v>19.54</v>
      </c>
      <c r="C172" s="1364" t="s">
        <v>849</v>
      </c>
      <c r="D172" s="1365"/>
      <c r="E172" s="1364"/>
      <c r="F172" s="1365"/>
      <c r="G172" s="302"/>
      <c r="H172" s="302"/>
      <c r="I172" s="169"/>
      <c r="J172" s="169"/>
      <c r="K172" s="169"/>
    </row>
    <row r="173" spans="1:11" ht="12.75">
      <c r="A173" s="330" t="s">
        <v>842</v>
      </c>
      <c r="B173" s="1201">
        <v>0.00018489537440077996</v>
      </c>
      <c r="C173" s="1364" t="s">
        <v>847</v>
      </c>
      <c r="D173" s="1365"/>
      <c r="E173" s="1364" t="s">
        <v>848</v>
      </c>
      <c r="F173" s="1365"/>
      <c r="G173" s="302"/>
      <c r="H173" s="302"/>
      <c r="I173" s="169"/>
      <c r="J173" s="169"/>
      <c r="K173" s="169"/>
    </row>
    <row r="174" spans="1:11" ht="12.75">
      <c r="A174" s="330" t="s">
        <v>840</v>
      </c>
      <c r="B174" s="1201">
        <v>0.0008885249936481925</v>
      </c>
      <c r="C174" s="1364" t="s">
        <v>847</v>
      </c>
      <c r="D174" s="1365"/>
      <c r="E174" s="1364" t="s">
        <v>846</v>
      </c>
      <c r="F174" s="1365"/>
      <c r="G174" s="302"/>
      <c r="H174" s="302"/>
      <c r="I174" s="169"/>
      <c r="J174" s="169"/>
      <c r="K174" s="169"/>
    </row>
    <row r="175" spans="1:18" ht="12.75">
      <c r="A175" s="330" t="s">
        <v>845</v>
      </c>
      <c r="B175" s="1199">
        <v>387.03907903056773</v>
      </c>
      <c r="C175" s="1364" t="s">
        <v>844</v>
      </c>
      <c r="D175" s="1365"/>
      <c r="E175" s="1364" t="s">
        <v>843</v>
      </c>
      <c r="F175" s="1365"/>
      <c r="G175" s="302"/>
      <c r="H175" s="302"/>
      <c r="I175" s="169"/>
      <c r="J175" s="169"/>
      <c r="K175" s="169"/>
      <c r="R175" s="1211"/>
    </row>
    <row r="176" spans="1:18" ht="12.75">
      <c r="A176" s="330" t="s">
        <v>842</v>
      </c>
      <c r="B176" s="1199">
        <v>0.0036</v>
      </c>
      <c r="C176" s="1364" t="s">
        <v>841</v>
      </c>
      <c r="D176" s="1365"/>
      <c r="E176" s="1364" t="s">
        <v>838</v>
      </c>
      <c r="F176" s="1365"/>
      <c r="G176" s="302"/>
      <c r="H176" s="302"/>
      <c r="I176" s="169"/>
      <c r="J176" s="169"/>
      <c r="K176" s="169"/>
      <c r="R176" s="1211"/>
    </row>
    <row r="177" spans="1:18" ht="12.75">
      <c r="A177" s="329" t="s">
        <v>840</v>
      </c>
      <c r="B177" s="1169">
        <v>0.0173</v>
      </c>
      <c r="C177" s="1364" t="s">
        <v>839</v>
      </c>
      <c r="D177" s="1365"/>
      <c r="E177" s="1364" t="s">
        <v>838</v>
      </c>
      <c r="F177" s="1365"/>
      <c r="G177" s="302"/>
      <c r="H177" s="302"/>
      <c r="I177" s="169"/>
      <c r="J177" s="169"/>
      <c r="K177" s="169"/>
      <c r="R177" s="1211"/>
    </row>
    <row r="178" spans="1:11" ht="12.75">
      <c r="A178" s="169"/>
      <c r="B178" s="169"/>
      <c r="C178" s="169"/>
      <c r="D178" s="169"/>
      <c r="E178" s="169"/>
      <c r="F178" s="169"/>
      <c r="G178" s="169"/>
      <c r="H178" s="169"/>
      <c r="I178" s="169"/>
      <c r="J178" s="169"/>
      <c r="K178" s="169"/>
    </row>
    <row r="179" spans="1:18" ht="12.75">
      <c r="A179" s="169" t="s">
        <v>837</v>
      </c>
      <c r="B179" s="169"/>
      <c r="C179" s="169"/>
      <c r="D179" s="169"/>
      <c r="E179" s="169"/>
      <c r="F179" s="169"/>
      <c r="G179" s="169"/>
      <c r="H179" s="169"/>
      <c r="I179" s="169"/>
      <c r="J179" s="169"/>
      <c r="K179" s="169"/>
      <c r="R179" s="1212"/>
    </row>
    <row r="180" spans="1:18" ht="89.25">
      <c r="A180" s="299" t="s">
        <v>836</v>
      </c>
      <c r="B180" s="299"/>
      <c r="C180" s="299"/>
      <c r="D180" s="299"/>
      <c r="E180" s="299"/>
      <c r="F180" s="299"/>
      <c r="G180" s="299"/>
      <c r="H180" s="299"/>
      <c r="I180" s="299"/>
      <c r="J180" s="299"/>
      <c r="K180" s="299"/>
      <c r="R180" s="1212"/>
    </row>
    <row r="181" spans="1:18" ht="12.75">
      <c r="A181" s="1222" t="s">
        <v>835</v>
      </c>
      <c r="B181" s="1222"/>
      <c r="C181" s="1222"/>
      <c r="D181" s="1222"/>
      <c r="E181" s="1222"/>
      <c r="F181" s="1222"/>
      <c r="G181" s="1222"/>
      <c r="H181" s="1222"/>
      <c r="I181" s="1222"/>
      <c r="J181" s="1222"/>
      <c r="K181" s="1222"/>
      <c r="R181" s="1212"/>
    </row>
    <row r="182" spans="1:18" ht="12.75">
      <c r="A182" s="1222" t="s">
        <v>834</v>
      </c>
      <c r="B182" s="1222"/>
      <c r="C182" s="1222"/>
      <c r="D182" s="1222"/>
      <c r="E182" s="1222"/>
      <c r="F182" s="1222"/>
      <c r="G182" s="1222"/>
      <c r="H182" s="1222"/>
      <c r="I182" s="1222"/>
      <c r="J182" s="1222"/>
      <c r="K182" s="1222"/>
      <c r="R182" s="1212"/>
    </row>
    <row r="183" spans="1:18" ht="12.75">
      <c r="A183" s="1222" t="s">
        <v>833</v>
      </c>
      <c r="B183" s="1222"/>
      <c r="C183" s="1222"/>
      <c r="D183" s="1222"/>
      <c r="E183" s="1222"/>
      <c r="F183" s="1222"/>
      <c r="G183" s="1222"/>
      <c r="H183" s="1222"/>
      <c r="I183" s="1222"/>
      <c r="J183" s="1222"/>
      <c r="K183" s="1222"/>
      <c r="R183" s="1212"/>
    </row>
    <row r="184" spans="1:18" ht="12.75">
      <c r="A184" s="169" t="s">
        <v>832</v>
      </c>
      <c r="B184" s="169"/>
      <c r="C184" s="169"/>
      <c r="D184" s="169"/>
      <c r="E184" s="169"/>
      <c r="F184" s="169"/>
      <c r="G184" s="169"/>
      <c r="H184" s="169"/>
      <c r="I184" s="169"/>
      <c r="J184" s="169"/>
      <c r="K184" s="169"/>
      <c r="R184" s="1212"/>
    </row>
    <row r="185" spans="1:18" ht="12.75">
      <c r="A185" s="169"/>
      <c r="B185" s="169"/>
      <c r="C185" s="169"/>
      <c r="D185" s="169"/>
      <c r="E185" s="169"/>
      <c r="F185" s="169"/>
      <c r="G185" s="169"/>
      <c r="H185" s="169"/>
      <c r="I185" s="169"/>
      <c r="J185" s="169"/>
      <c r="K185" s="169"/>
      <c r="R185" s="1212"/>
    </row>
    <row r="186" spans="1:18" ht="14.25">
      <c r="A186" s="169" t="s">
        <v>1017</v>
      </c>
      <c r="B186" s="169"/>
      <c r="C186" s="169"/>
      <c r="D186" s="169"/>
      <c r="E186" s="169"/>
      <c r="F186" s="169"/>
      <c r="G186" s="169"/>
      <c r="H186" s="169"/>
      <c r="I186" s="169"/>
      <c r="J186" s="169"/>
      <c r="K186" s="169"/>
      <c r="R186" s="1212"/>
    </row>
    <row r="187" spans="1:18" ht="12.75">
      <c r="A187" s="400" t="s">
        <v>1016</v>
      </c>
      <c r="B187" s="169"/>
      <c r="C187" s="169"/>
      <c r="D187" s="169"/>
      <c r="E187" s="169"/>
      <c r="F187" s="169"/>
      <c r="G187" s="169"/>
      <c r="H187" s="169"/>
      <c r="I187" s="169"/>
      <c r="J187" s="169"/>
      <c r="K187" s="169"/>
      <c r="R187" s="1212"/>
    </row>
    <row r="188" spans="1:18" ht="12.75">
      <c r="A188" s="169" t="s">
        <v>1015</v>
      </c>
      <c r="B188" s="51"/>
      <c r="C188"/>
      <c r="D188"/>
      <c r="E188" s="169"/>
      <c r="F188" s="169"/>
      <c r="G188" s="169"/>
      <c r="H188" s="169"/>
      <c r="I188" s="169"/>
      <c r="J188" s="169"/>
      <c r="K188" s="169"/>
      <c r="R188" s="1212"/>
    </row>
    <row r="189" spans="1:18" ht="12.75">
      <c r="A189" s="400" t="s">
        <v>1012</v>
      </c>
      <c r="B189" s="169"/>
      <c r="C189" s="169"/>
      <c r="D189" s="169"/>
      <c r="E189" s="169"/>
      <c r="F189" s="169"/>
      <c r="G189" s="169"/>
      <c r="H189" s="169"/>
      <c r="I189" s="169"/>
      <c r="J189" s="169"/>
      <c r="K189" s="169"/>
      <c r="R189" s="1212"/>
    </row>
    <row r="190" spans="1:18" ht="12.75">
      <c r="A190" s="169" t="s">
        <v>1014</v>
      </c>
      <c r="B190" s="169"/>
      <c r="C190" s="169"/>
      <c r="D190" s="169"/>
      <c r="E190" s="169"/>
      <c r="F190" s="169"/>
      <c r="G190" s="169"/>
      <c r="H190" s="169"/>
      <c r="I190" s="169"/>
      <c r="J190" s="169"/>
      <c r="K190" s="169"/>
      <c r="R190" s="1212"/>
    </row>
    <row r="191" spans="1:18" ht="12.75">
      <c r="A191" s="400" t="s">
        <v>1013</v>
      </c>
      <c r="B191" s="169"/>
      <c r="C191" s="169"/>
      <c r="D191" s="169"/>
      <c r="E191" s="169"/>
      <c r="F191" s="169"/>
      <c r="G191" s="169"/>
      <c r="H191" s="169"/>
      <c r="I191" s="169"/>
      <c r="J191" s="169"/>
      <c r="K191" s="169"/>
      <c r="R191" s="1212"/>
    </row>
    <row r="192" spans="1:18" ht="12.75">
      <c r="A192" s="400"/>
      <c r="B192" s="169"/>
      <c r="C192" s="169"/>
      <c r="D192" s="169"/>
      <c r="E192" s="169"/>
      <c r="F192" s="169"/>
      <c r="G192" s="169"/>
      <c r="H192" s="169"/>
      <c r="I192" s="169"/>
      <c r="J192" s="169"/>
      <c r="K192" s="169"/>
      <c r="R192" s="1212"/>
    </row>
    <row r="193" spans="1:18" ht="15.75">
      <c r="A193" s="1086" t="s">
        <v>929</v>
      </c>
      <c r="R193" s="1212"/>
    </row>
    <row r="194" spans="1:18" ht="51">
      <c r="A194" s="308"/>
      <c r="B194" s="396" t="s">
        <v>902</v>
      </c>
      <c r="C194" s="395" t="s">
        <v>901</v>
      </c>
      <c r="D194" s="169"/>
      <c r="E194" s="169"/>
      <c r="F194" s="169"/>
      <c r="G194" s="169"/>
      <c r="H194" s="169"/>
      <c r="I194" s="169"/>
      <c r="J194" s="169"/>
      <c r="K194" s="169"/>
      <c r="R194" s="1212"/>
    </row>
    <row r="195" spans="1:18" ht="12.75">
      <c r="A195" s="304" t="s">
        <v>1040</v>
      </c>
      <c r="B195" s="1204">
        <v>457</v>
      </c>
      <c r="C195" s="1202">
        <v>19</v>
      </c>
      <c r="D195" s="169"/>
      <c r="E195" s="169"/>
      <c r="F195" s="169"/>
      <c r="G195" s="169"/>
      <c r="H195" s="169"/>
      <c r="I195" s="169"/>
      <c r="J195" s="169"/>
      <c r="K195" s="169"/>
      <c r="R195" s="1212"/>
    </row>
    <row r="196" spans="1:18" ht="12.75">
      <c r="A196" s="303" t="s">
        <v>1039</v>
      </c>
      <c r="B196" s="1205">
        <v>16</v>
      </c>
      <c r="C196" s="1203">
        <v>1</v>
      </c>
      <c r="D196" s="169"/>
      <c r="E196" s="169"/>
      <c r="F196" s="169"/>
      <c r="G196" s="169"/>
      <c r="H196" s="169"/>
      <c r="I196" s="169"/>
      <c r="J196" s="169"/>
      <c r="K196" s="169"/>
      <c r="R196" s="1212"/>
    </row>
    <row r="197" spans="1:18" ht="12.75">
      <c r="A197" s="169" t="s">
        <v>913</v>
      </c>
      <c r="B197" s="1206">
        <v>93</v>
      </c>
      <c r="C197" s="323" t="s">
        <v>912</v>
      </c>
      <c r="D197" s="169"/>
      <c r="E197" s="169"/>
      <c r="F197" s="169"/>
      <c r="G197" s="169"/>
      <c r="H197" s="169"/>
      <c r="I197" s="169"/>
      <c r="J197" s="169"/>
      <c r="K197" s="169"/>
      <c r="R197" s="1212"/>
    </row>
    <row r="198" spans="1:18" ht="12.75">
      <c r="A198" s="1367" t="s">
        <v>911</v>
      </c>
      <c r="B198" s="1367"/>
      <c r="C198" s="1367"/>
      <c r="D198" s="1367"/>
      <c r="E198" s="1367"/>
      <c r="F198" s="169"/>
      <c r="G198" s="169"/>
      <c r="H198" s="169"/>
      <c r="I198" s="169"/>
      <c r="J198" s="169"/>
      <c r="K198" s="169"/>
      <c r="R198" s="1212"/>
    </row>
    <row r="199" spans="1:18" ht="12.75">
      <c r="A199" s="323" t="s">
        <v>910</v>
      </c>
      <c r="B199" s="1206">
        <v>0.1</v>
      </c>
      <c r="C199" s="323"/>
      <c r="D199" s="323"/>
      <c r="E199" s="323"/>
      <c r="F199" s="309"/>
      <c r="G199" s="309"/>
      <c r="H199" s="309"/>
      <c r="I199" s="309"/>
      <c r="J199" s="309"/>
      <c r="K199" s="309"/>
      <c r="R199" s="1212"/>
    </row>
    <row r="200" spans="1:18" ht="25.5">
      <c r="A200" s="323" t="s">
        <v>909</v>
      </c>
      <c r="B200" s="1206">
        <v>0.02</v>
      </c>
      <c r="C200" s="323" t="s">
        <v>790</v>
      </c>
      <c r="D200" s="323"/>
      <c r="E200" s="323"/>
      <c r="F200" s="309"/>
      <c r="G200" s="309"/>
      <c r="H200" s="309"/>
      <c r="I200" s="309"/>
      <c r="J200" s="309"/>
      <c r="K200" s="309"/>
      <c r="R200" s="1212"/>
    </row>
    <row r="201" spans="1:11" ht="12.75">
      <c r="A201" s="184"/>
      <c r="B201" s="184"/>
      <c r="C201" s="184"/>
      <c r="D201" s="323"/>
      <c r="E201" s="323"/>
      <c r="F201" s="184"/>
      <c r="G201" s="184"/>
      <c r="H201" s="184"/>
      <c r="I201" s="184"/>
      <c r="J201" s="184"/>
      <c r="K201" s="184"/>
    </row>
    <row r="202" spans="1:11" ht="12.75">
      <c r="A202" s="323"/>
      <c r="B202" s="394"/>
      <c r="C202" s="394"/>
      <c r="D202" s="394"/>
      <c r="E202" s="394"/>
      <c r="F202" s="394"/>
      <c r="G202" s="394"/>
      <c r="H202" s="394"/>
      <c r="I202" s="394"/>
      <c r="J202" s="393"/>
      <c r="K202" s="169"/>
    </row>
    <row r="203" spans="1:18" ht="102">
      <c r="A203" s="392" t="s">
        <v>908</v>
      </c>
      <c r="B203" s="391" t="s">
        <v>907</v>
      </c>
      <c r="C203" s="390" t="s">
        <v>906</v>
      </c>
      <c r="D203" s="390" t="s">
        <v>905</v>
      </c>
      <c r="E203" s="390" t="s">
        <v>904</v>
      </c>
      <c r="F203" s="389" t="s">
        <v>903</v>
      </c>
      <c r="G203" s="388" t="s">
        <v>902</v>
      </c>
      <c r="H203" s="387" t="s">
        <v>901</v>
      </c>
      <c r="I203" s="386"/>
      <c r="J203" s="385" t="s">
        <v>900</v>
      </c>
      <c r="K203" s="384" t="s">
        <v>899</v>
      </c>
      <c r="R203" s="1212"/>
    </row>
    <row r="204" spans="1:18" ht="12.75">
      <c r="A204" s="320" t="s">
        <v>898</v>
      </c>
      <c r="B204" s="306"/>
      <c r="C204" s="390"/>
      <c r="D204" s="390"/>
      <c r="E204" s="390"/>
      <c r="F204" s="389"/>
      <c r="G204" s="388"/>
      <c r="H204" s="387"/>
      <c r="I204" s="386"/>
      <c r="J204" s="385"/>
      <c r="K204" s="384"/>
      <c r="R204" s="1212"/>
    </row>
    <row r="205" spans="1:18" ht="12.75">
      <c r="A205" s="305" t="s">
        <v>897</v>
      </c>
      <c r="B205" s="1207">
        <v>1.225</v>
      </c>
      <c r="C205" s="1207">
        <v>1150</v>
      </c>
      <c r="D205" s="370">
        <v>1.41</v>
      </c>
      <c r="E205" s="370">
        <v>5071</v>
      </c>
      <c r="F205" s="369">
        <f>1000/D205</f>
        <v>709.2198581560284</v>
      </c>
      <c r="G205" s="368">
        <v>457</v>
      </c>
      <c r="H205" s="367">
        <v>19</v>
      </c>
      <c r="I205" s="362">
        <f>G205/F205/Conversions!$B$148</f>
        <v>0.4003929551419709</v>
      </c>
      <c r="J205" s="318">
        <f>H205/F205*(1000/Conversions!$B$146)</f>
        <v>0.0590618400393287</v>
      </c>
      <c r="K205" s="366">
        <f>4.49/4</f>
        <v>1.1225</v>
      </c>
      <c r="R205" s="1212"/>
    </row>
    <row r="206" spans="1:18" ht="12.75">
      <c r="A206" s="304" t="s">
        <v>896</v>
      </c>
      <c r="B206" s="1208">
        <v>1.1</v>
      </c>
      <c r="C206" s="1208">
        <v>320</v>
      </c>
      <c r="D206" s="365">
        <v>0.35</v>
      </c>
      <c r="E206" s="365">
        <v>1268</v>
      </c>
      <c r="F206" s="251">
        <f>1000/D206</f>
        <v>2857.1428571428573</v>
      </c>
      <c r="G206" s="364"/>
      <c r="H206" s="363"/>
      <c r="I206" s="362">
        <f>G206/F206/Conversions!$B$148</f>
        <v>0</v>
      </c>
      <c r="J206" s="318">
        <f>H206/F206*(1000/Conversions!$B$146)</f>
        <v>0</v>
      </c>
      <c r="K206" s="361"/>
      <c r="R206" s="1212"/>
    </row>
    <row r="207" spans="1:18" ht="12.75">
      <c r="A207" s="304" t="s">
        <v>895</v>
      </c>
      <c r="B207" s="1208">
        <v>1.2</v>
      </c>
      <c r="C207" s="1208">
        <v>300</v>
      </c>
      <c r="D207" s="365">
        <v>0.36</v>
      </c>
      <c r="E207" s="365">
        <v>1296</v>
      </c>
      <c r="F207" s="251">
        <f>1000/D207</f>
        <v>2777.777777777778</v>
      </c>
      <c r="G207" s="364"/>
      <c r="H207" s="363"/>
      <c r="I207" s="362">
        <f>G207/F207/Conversions!$B$148</f>
        <v>0</v>
      </c>
      <c r="J207" s="318">
        <f>H207/F207*(1000/Conversions!$B$146)</f>
        <v>0</v>
      </c>
      <c r="K207" s="361"/>
      <c r="R207" s="1212"/>
    </row>
    <row r="208" spans="1:18" ht="12.75">
      <c r="A208" s="379" t="s">
        <v>894</v>
      </c>
      <c r="B208" s="1210">
        <v>1.2</v>
      </c>
      <c r="C208" s="1210">
        <v>800</v>
      </c>
      <c r="D208" s="378">
        <v>0.96</v>
      </c>
      <c r="E208" s="378">
        <v>3456</v>
      </c>
      <c r="F208" s="377">
        <f>1000/D208</f>
        <v>1041.6666666666667</v>
      </c>
      <c r="G208" s="376">
        <v>16</v>
      </c>
      <c r="H208" s="375">
        <v>1</v>
      </c>
      <c r="I208" s="374">
        <f>G208/F208/Conversions!$B$148</f>
        <v>0.009544261512765448</v>
      </c>
      <c r="J208" s="373">
        <f>H208/F208*(1000/Conversions!$B$146)</f>
        <v>0.0021164377169748247</v>
      </c>
      <c r="K208" s="372">
        <f>12.99/4</f>
        <v>3.2475</v>
      </c>
      <c r="R208" s="1212"/>
    </row>
    <row r="209" spans="1:18" ht="12.75">
      <c r="A209" s="371" t="s">
        <v>893</v>
      </c>
      <c r="B209" s="1362"/>
      <c r="C209" s="1363"/>
      <c r="D209" s="1363"/>
      <c r="E209" s="1363"/>
      <c r="F209" s="1363"/>
      <c r="G209" s="1363"/>
      <c r="H209" s="1363"/>
      <c r="I209" s="1363"/>
      <c r="J209" s="1363"/>
      <c r="K209" s="1354"/>
      <c r="R209" s="1212"/>
    </row>
    <row r="210" spans="1:18" ht="12.75">
      <c r="A210" s="305" t="s">
        <v>892</v>
      </c>
      <c r="B210" s="1207">
        <v>1.225</v>
      </c>
      <c r="C210" s="1207">
        <v>2122</v>
      </c>
      <c r="D210" s="370">
        <v>2.6</v>
      </c>
      <c r="E210" s="370">
        <v>9360</v>
      </c>
      <c r="F210" s="369">
        <f>1000/D210</f>
        <v>384.6153846153846</v>
      </c>
      <c r="G210" s="368">
        <v>457</v>
      </c>
      <c r="H210" s="367">
        <v>19</v>
      </c>
      <c r="I210" s="362">
        <f>G210/F210/Conversions!$B$148</f>
        <v>0.7383132506164003</v>
      </c>
      <c r="J210" s="318">
        <f>H210/F210*(1000/Conversions!$B$146)</f>
        <v>0.10890835751932954</v>
      </c>
      <c r="K210" s="366">
        <f>4.49/4</f>
        <v>1.1225</v>
      </c>
      <c r="R210" s="1212"/>
    </row>
    <row r="211" spans="1:18" ht="12.75">
      <c r="A211" s="304" t="s">
        <v>891</v>
      </c>
      <c r="B211" s="1208">
        <v>1.1</v>
      </c>
      <c r="C211" s="1208">
        <v>591</v>
      </c>
      <c r="D211" s="365">
        <v>0.65</v>
      </c>
      <c r="E211" s="365">
        <v>2340</v>
      </c>
      <c r="F211" s="251">
        <f>1000/D211</f>
        <v>1538.4615384615383</v>
      </c>
      <c r="G211" s="364"/>
      <c r="H211" s="363"/>
      <c r="I211" s="362">
        <f>G211/F211/Conversions!$B$148</f>
        <v>0</v>
      </c>
      <c r="J211" s="318">
        <f>H211/F211*(1000/Conversions!$B$146)</f>
        <v>0</v>
      </c>
      <c r="K211" s="361"/>
      <c r="R211" s="1212"/>
    </row>
    <row r="212" spans="1:18" ht="12.75">
      <c r="A212" s="304" t="s">
        <v>890</v>
      </c>
      <c r="B212" s="1208">
        <v>1.2</v>
      </c>
      <c r="C212" s="1208">
        <v>1000</v>
      </c>
      <c r="D212" s="365">
        <v>1.2</v>
      </c>
      <c r="E212" s="365">
        <v>4320</v>
      </c>
      <c r="F212" s="251">
        <f>1000/D212</f>
        <v>833.3333333333334</v>
      </c>
      <c r="G212" s="364"/>
      <c r="H212" s="363"/>
      <c r="I212" s="362">
        <f>G212/F212/Conversions!$B$148</f>
        <v>0</v>
      </c>
      <c r="J212" s="318">
        <f>H212/F212*(1000/Conversions!$B$146)</f>
        <v>0</v>
      </c>
      <c r="K212" s="361"/>
      <c r="R212" s="1212"/>
    </row>
    <row r="213" spans="1:18" ht="12.75">
      <c r="A213" s="304" t="s">
        <v>889</v>
      </c>
      <c r="B213" s="1208">
        <v>1.2</v>
      </c>
      <c r="C213" s="1208">
        <v>2100</v>
      </c>
      <c r="D213" s="365">
        <v>2.52</v>
      </c>
      <c r="E213" s="365">
        <v>9072</v>
      </c>
      <c r="F213" s="251">
        <f>1000/D213</f>
        <v>396.8253968253968</v>
      </c>
      <c r="G213" s="383">
        <v>16</v>
      </c>
      <c r="H213" s="382">
        <v>1</v>
      </c>
      <c r="I213" s="362">
        <f>G213/F213/Conversions!$B$148</f>
        <v>0.025053686471009307</v>
      </c>
      <c r="J213" s="318">
        <f>H213/F213*(1000/Conversions!$B$146)</f>
        <v>0.005555649007058915</v>
      </c>
      <c r="K213" s="361">
        <f>12.99/4</f>
        <v>3.2475</v>
      </c>
      <c r="R213" s="1212"/>
    </row>
    <row r="214" spans="1:18" ht="12.75">
      <c r="A214" s="379" t="s">
        <v>888</v>
      </c>
      <c r="B214" s="1210">
        <v>3.6</v>
      </c>
      <c r="C214" s="1210">
        <v>853</v>
      </c>
      <c r="D214" s="378">
        <v>3.1</v>
      </c>
      <c r="E214" s="378">
        <v>11050</v>
      </c>
      <c r="F214" s="377">
        <f>1000/D214</f>
        <v>322.5806451612903</v>
      </c>
      <c r="G214" s="381"/>
      <c r="H214" s="380"/>
      <c r="I214" s="374">
        <f>G214/F214/Conversions!$B$148</f>
        <v>0</v>
      </c>
      <c r="J214" s="373">
        <f>H214/F214*(1000/Conversions!$B$146)</f>
        <v>0</v>
      </c>
      <c r="K214" s="372"/>
      <c r="R214" s="1212"/>
    </row>
    <row r="215" spans="1:18" ht="12.75">
      <c r="A215" s="371" t="s">
        <v>887</v>
      </c>
      <c r="B215" s="1362"/>
      <c r="C215" s="1363"/>
      <c r="D215" s="1363"/>
      <c r="E215" s="1363"/>
      <c r="F215" s="1363"/>
      <c r="G215" s="1363"/>
      <c r="H215" s="1363"/>
      <c r="I215" s="1363"/>
      <c r="J215" s="1363"/>
      <c r="K215" s="1354"/>
      <c r="R215" s="1212"/>
    </row>
    <row r="216" spans="1:18" ht="12.75">
      <c r="A216" s="305" t="s">
        <v>886</v>
      </c>
      <c r="B216" s="1207">
        <v>1.225</v>
      </c>
      <c r="C216" s="1207">
        <v>7800</v>
      </c>
      <c r="D216" s="370">
        <v>9.56</v>
      </c>
      <c r="E216" s="370">
        <v>34398</v>
      </c>
      <c r="F216" s="369">
        <f>1000/D216</f>
        <v>104.60251046025104</v>
      </c>
      <c r="G216" s="368">
        <v>457</v>
      </c>
      <c r="H216" s="367">
        <v>19</v>
      </c>
      <c r="I216" s="362">
        <f>G216/F216/Conversions!$B$148</f>
        <v>2.714721029189533</v>
      </c>
      <c r="J216" s="318">
        <f>H216/F216*(1000/Conversions!$B$146)</f>
        <v>0.40044765303261165</v>
      </c>
      <c r="K216" s="366">
        <f>4.79/4</f>
        <v>1.1975</v>
      </c>
      <c r="R216" s="1212"/>
    </row>
    <row r="217" spans="1:18" ht="12.75">
      <c r="A217" s="304" t="s">
        <v>885</v>
      </c>
      <c r="B217" s="1208">
        <v>1.1</v>
      </c>
      <c r="C217" s="1208">
        <v>2172</v>
      </c>
      <c r="D217" s="365">
        <v>2.39</v>
      </c>
      <c r="E217" s="365">
        <v>8600</v>
      </c>
      <c r="F217" s="251">
        <f>1000/D217</f>
        <v>418.41004184100416</v>
      </c>
      <c r="G217" s="364"/>
      <c r="H217" s="363"/>
      <c r="I217" s="362">
        <f>G217/F217/Conversions!$B$148</f>
        <v>0</v>
      </c>
      <c r="J217" s="318">
        <f>H217/F217*(1000/Conversions!$B$146)</f>
        <v>0</v>
      </c>
      <c r="K217" s="361"/>
      <c r="R217" s="1212"/>
    </row>
    <row r="218" spans="1:18" ht="12.75">
      <c r="A218" s="304" t="s">
        <v>884</v>
      </c>
      <c r="B218" s="1208">
        <v>1.2</v>
      </c>
      <c r="C218" s="1208">
        <v>2500</v>
      </c>
      <c r="D218" s="365">
        <v>3</v>
      </c>
      <c r="E218" s="365">
        <v>10800</v>
      </c>
      <c r="F218" s="251">
        <f>1000/D218</f>
        <v>333.3333333333333</v>
      </c>
      <c r="G218" s="364"/>
      <c r="H218" s="363"/>
      <c r="I218" s="362">
        <f>G218/F218/Conversions!$B$148</f>
        <v>0</v>
      </c>
      <c r="J218" s="318">
        <f>H218/F218*(1000/Conversions!$B$146)</f>
        <v>0</v>
      </c>
      <c r="K218" s="361"/>
      <c r="R218" s="1212"/>
    </row>
    <row r="219" spans="1:18" ht="12.75">
      <c r="A219" s="379" t="s">
        <v>883</v>
      </c>
      <c r="B219" s="1210">
        <v>1.2</v>
      </c>
      <c r="C219" s="1210">
        <v>4500</v>
      </c>
      <c r="D219" s="378">
        <v>5.4</v>
      </c>
      <c r="E219" s="378">
        <v>19440</v>
      </c>
      <c r="F219" s="377">
        <f>1000/D219</f>
        <v>185.18518518518516</v>
      </c>
      <c r="G219" s="376">
        <v>16</v>
      </c>
      <c r="H219" s="375">
        <v>1</v>
      </c>
      <c r="I219" s="374">
        <f>G219/F219/Conversions!$B$148</f>
        <v>0.05368647100930565</v>
      </c>
      <c r="J219" s="373">
        <f>H219/F219*(1000/Conversions!$B$146)</f>
        <v>0.011904962157983388</v>
      </c>
      <c r="K219" s="372">
        <f>16.9/4</f>
        <v>4.225</v>
      </c>
      <c r="R219" s="1212"/>
    </row>
    <row r="220" spans="1:18" ht="12.75">
      <c r="A220" s="371" t="s">
        <v>882</v>
      </c>
      <c r="B220" s="1362"/>
      <c r="C220" s="1363"/>
      <c r="D220" s="1363"/>
      <c r="E220" s="1363"/>
      <c r="F220" s="1363"/>
      <c r="G220" s="1363"/>
      <c r="H220" s="1363"/>
      <c r="I220" s="1363"/>
      <c r="J220" s="1363"/>
      <c r="K220" s="1354"/>
      <c r="R220" s="1212"/>
    </row>
    <row r="221" spans="1:18" ht="12.75">
      <c r="A221" s="305" t="s">
        <v>881</v>
      </c>
      <c r="B221" s="1207">
        <v>1.225</v>
      </c>
      <c r="C221" s="1207">
        <v>17000</v>
      </c>
      <c r="D221" s="370">
        <v>20.83</v>
      </c>
      <c r="E221" s="370">
        <v>74970</v>
      </c>
      <c r="F221" s="369">
        <f>1000/D221</f>
        <v>48.007681228996645</v>
      </c>
      <c r="G221" s="368">
        <v>457</v>
      </c>
      <c r="H221" s="367">
        <v>19</v>
      </c>
      <c r="I221" s="362">
        <f>G221/F221/Conversions!$B$148</f>
        <v>5.915025003976774</v>
      </c>
      <c r="J221" s="318">
        <f>H221/F221*(1000/Conversions!$B$146)</f>
        <v>0.8725234950490899</v>
      </c>
      <c r="K221" s="366">
        <f>4.79/4</f>
        <v>1.1975</v>
      </c>
      <c r="R221" s="1212"/>
    </row>
    <row r="222" spans="1:18" ht="12.75">
      <c r="A222" s="304" t="s">
        <v>880</v>
      </c>
      <c r="B222" s="1208">
        <v>1.1</v>
      </c>
      <c r="C222" s="1208">
        <v>4733</v>
      </c>
      <c r="D222" s="365">
        <v>5.21</v>
      </c>
      <c r="E222" s="365">
        <v>18743</v>
      </c>
      <c r="F222" s="251">
        <f>1000/D222</f>
        <v>191.93857965451056</v>
      </c>
      <c r="G222" s="364"/>
      <c r="H222" s="363"/>
      <c r="I222" s="362">
        <f>G222/F222/Conversions!$B$148</f>
        <v>0</v>
      </c>
      <c r="J222" s="318">
        <f>H222/F222*(1000/Conversions!$B$146)</f>
        <v>0</v>
      </c>
      <c r="K222" s="361"/>
      <c r="R222" s="1212"/>
    </row>
    <row r="223" spans="1:18" ht="12.75">
      <c r="A223" s="304" t="s">
        <v>879</v>
      </c>
      <c r="B223" s="1208">
        <v>1.2</v>
      </c>
      <c r="C223" s="1208">
        <v>5000</v>
      </c>
      <c r="D223" s="365">
        <v>6</v>
      </c>
      <c r="E223" s="365">
        <v>21600</v>
      </c>
      <c r="F223" s="251">
        <f>1000/D223</f>
        <v>166.66666666666666</v>
      </c>
      <c r="G223" s="364"/>
      <c r="H223" s="363"/>
      <c r="I223" s="362">
        <f>G223/F223/Conversions!$B$148</f>
        <v>0</v>
      </c>
      <c r="J223" s="318">
        <f>H223/F223*(1000/Conversions!$B$146)</f>
        <v>0</v>
      </c>
      <c r="K223" s="361"/>
      <c r="R223" s="1212"/>
    </row>
    <row r="224" spans="1:18" ht="12.75">
      <c r="A224" s="303" t="s">
        <v>878</v>
      </c>
      <c r="B224" s="1209">
        <v>1.2</v>
      </c>
      <c r="C224" s="1209">
        <v>9500</v>
      </c>
      <c r="D224" s="360">
        <v>11.4</v>
      </c>
      <c r="E224" s="360">
        <v>41040</v>
      </c>
      <c r="F224" s="248">
        <f>1000/D224</f>
        <v>87.71929824561403</v>
      </c>
      <c r="G224" s="359">
        <v>16</v>
      </c>
      <c r="H224" s="358">
        <v>1</v>
      </c>
      <c r="I224" s="357">
        <f>G224/F224/Conversions!$B$148</f>
        <v>0.1133381054640897</v>
      </c>
      <c r="J224" s="356">
        <f>H224/F224*(1000/Conversions!$B$146)</f>
        <v>0.025132697889076044</v>
      </c>
      <c r="K224" s="355">
        <f>18.69/4</f>
        <v>4.6725</v>
      </c>
      <c r="R224" s="1212"/>
    </row>
    <row r="225" spans="1:18" ht="12.75">
      <c r="A225" s="354" t="s">
        <v>877</v>
      </c>
      <c r="B225" s="169"/>
      <c r="C225" s="169"/>
      <c r="D225" s="169"/>
      <c r="E225" s="169"/>
      <c r="F225" s="169"/>
      <c r="G225" s="169"/>
      <c r="H225" s="169"/>
      <c r="I225" s="169"/>
      <c r="J225" s="169"/>
      <c r="K225" s="169"/>
      <c r="R225" s="1212"/>
    </row>
    <row r="226" spans="1:18" ht="12.75">
      <c r="A226" s="353" t="s">
        <v>876</v>
      </c>
      <c r="B226" s="311"/>
      <c r="C226" s="311"/>
      <c r="D226" s="311"/>
      <c r="E226" s="311"/>
      <c r="F226" s="352"/>
      <c r="G226" s="351"/>
      <c r="H226" s="169"/>
      <c r="I226" s="169"/>
      <c r="J226" s="169"/>
      <c r="K226" s="169">
        <v>29.99</v>
      </c>
      <c r="R226" s="1212"/>
    </row>
    <row r="227" spans="1:18" ht="25.5">
      <c r="A227" s="323" t="s">
        <v>875</v>
      </c>
      <c r="B227" s="311"/>
      <c r="C227" s="311"/>
      <c r="D227" s="311"/>
      <c r="E227" s="311"/>
      <c r="F227" s="350"/>
      <c r="G227" s="309"/>
      <c r="H227" s="309"/>
      <c r="I227" s="309"/>
      <c r="J227" s="309"/>
      <c r="K227" s="309"/>
      <c r="R227" s="1212"/>
    </row>
    <row r="228" ht="12.75">
      <c r="R228" s="1212"/>
    </row>
    <row r="229" ht="12.75">
      <c r="R229" s="1212"/>
    </row>
    <row r="230" ht="12.75">
      <c r="R230" s="1212"/>
    </row>
    <row r="231" ht="12.75">
      <c r="R231" s="1212"/>
    </row>
    <row r="232" spans="1:18" ht="12.75">
      <c r="A232" s="44"/>
      <c r="B232" s="105"/>
      <c r="C232" s="105"/>
      <c r="R232" s="1212"/>
    </row>
    <row r="233" spans="1:18" ht="12.75">
      <c r="A233" s="323"/>
      <c r="B233" s="565"/>
      <c r="C233" s="310"/>
      <c r="D233" s="173"/>
      <c r="E233" s="169"/>
      <c r="R233" s="1212"/>
    </row>
    <row r="234" spans="1:18" ht="15.75">
      <c r="A234" s="1098" t="s">
        <v>146</v>
      </c>
      <c r="B234" s="565"/>
      <c r="C234" s="310"/>
      <c r="D234" s="173"/>
      <c r="E234" s="169"/>
      <c r="R234" s="1212"/>
    </row>
    <row r="235" spans="1:18" ht="25.5">
      <c r="A235" s="1087" t="s">
        <v>177</v>
      </c>
      <c r="B235" s="263">
        <v>11986.050464496087</v>
      </c>
      <c r="C235" s="310" t="s">
        <v>790</v>
      </c>
      <c r="D235" s="1366" t="s">
        <v>176</v>
      </c>
      <c r="E235" s="1366"/>
      <c r="R235" s="1212"/>
    </row>
    <row r="236" spans="1:18" ht="12.75">
      <c r="A236" s="301"/>
      <c r="B236" s="301"/>
      <c r="C236" s="604"/>
      <c r="D236" s="169"/>
      <c r="E236" s="169"/>
      <c r="R236" s="1212"/>
    </row>
    <row r="237" spans="1:18" ht="12.75">
      <c r="A237" s="169"/>
      <c r="B237" s="169"/>
      <c r="C237" s="169"/>
      <c r="D237" s="169"/>
      <c r="E237" s="169"/>
      <c r="R237" s="1212"/>
    </row>
    <row r="238" spans="1:18" ht="25.5">
      <c r="A238" s="603" t="s">
        <v>175</v>
      </c>
      <c r="B238" s="602" t="s">
        <v>174</v>
      </c>
      <c r="C238" s="602" t="s">
        <v>173</v>
      </c>
      <c r="D238" s="601" t="s">
        <v>172</v>
      </c>
      <c r="E238" s="169"/>
      <c r="R238" s="1212"/>
    </row>
    <row r="239" spans="1:18" ht="12.75">
      <c r="A239" s="304">
        <v>40</v>
      </c>
      <c r="B239" s="337">
        <v>13</v>
      </c>
      <c r="C239" s="337" t="s">
        <v>137</v>
      </c>
      <c r="D239" s="600">
        <v>3.5</v>
      </c>
      <c r="E239" s="169"/>
      <c r="R239" s="1212"/>
    </row>
    <row r="240" spans="1:18" ht="12.75">
      <c r="A240" s="304">
        <v>60</v>
      </c>
      <c r="B240" s="337">
        <v>15</v>
      </c>
      <c r="C240" s="337" t="s">
        <v>136</v>
      </c>
      <c r="D240" s="600">
        <v>5.5</v>
      </c>
      <c r="E240" s="169"/>
      <c r="R240" s="1212"/>
    </row>
    <row r="241" spans="1:18" ht="12.75">
      <c r="A241" s="304">
        <v>75</v>
      </c>
      <c r="B241" s="337">
        <v>25</v>
      </c>
      <c r="C241" s="337" t="s">
        <v>135</v>
      </c>
      <c r="D241" s="600">
        <v>5.5</v>
      </c>
      <c r="E241" s="169"/>
      <c r="R241" s="1212"/>
    </row>
    <row r="242" spans="1:18" ht="12.75">
      <c r="A242" s="304">
        <v>100</v>
      </c>
      <c r="B242" s="337">
        <v>30</v>
      </c>
      <c r="C242" s="337" t="s">
        <v>134</v>
      </c>
      <c r="D242" s="600">
        <v>5.5</v>
      </c>
      <c r="E242" s="169"/>
      <c r="R242" s="1212"/>
    </row>
    <row r="243" spans="1:18" ht="12.75">
      <c r="A243" s="304">
        <v>150</v>
      </c>
      <c r="B243" s="337">
        <v>52</v>
      </c>
      <c r="C243" s="337" t="s">
        <v>133</v>
      </c>
      <c r="D243" s="600">
        <v>9.5</v>
      </c>
      <c r="E243" s="169"/>
      <c r="R243" s="1212"/>
    </row>
    <row r="244" spans="1:18" ht="12.75">
      <c r="A244" s="304"/>
      <c r="B244" s="337"/>
      <c r="C244" s="337"/>
      <c r="D244" s="315"/>
      <c r="E244" s="169"/>
      <c r="R244" s="1212"/>
    </row>
    <row r="245" spans="1:18" ht="12.75">
      <c r="A245" s="304"/>
      <c r="B245" s="337"/>
      <c r="C245" s="337"/>
      <c r="D245" s="315"/>
      <c r="E245" s="169"/>
      <c r="R245" s="1212"/>
    </row>
    <row r="246" spans="1:18" ht="12.75">
      <c r="A246" s="304"/>
      <c r="B246" s="337"/>
      <c r="C246" s="337"/>
      <c r="D246" s="315"/>
      <c r="E246" s="169"/>
      <c r="R246" s="1212"/>
    </row>
    <row r="247" spans="1:18" ht="12.75">
      <c r="A247" s="303"/>
      <c r="B247" s="336"/>
      <c r="C247" s="336"/>
      <c r="D247" s="314"/>
      <c r="E247" s="169"/>
      <c r="R247" s="1212"/>
    </row>
    <row r="248" spans="1:18" ht="12.75">
      <c r="A248" s="299" t="s">
        <v>141</v>
      </c>
      <c r="B248" s="173"/>
      <c r="C248" s="173"/>
      <c r="D248" s="169" t="s">
        <v>171</v>
      </c>
      <c r="E248" s="169"/>
      <c r="R248" s="1212"/>
    </row>
    <row r="249" spans="1:18" ht="12.75">
      <c r="A249" s="169"/>
      <c r="B249" s="173"/>
      <c r="C249" s="173"/>
      <c r="D249" s="169"/>
      <c r="E249" s="169"/>
      <c r="R249" s="1212"/>
    </row>
    <row r="250" spans="1:18" ht="12.75">
      <c r="A250" s="308"/>
      <c r="B250" s="338" t="s">
        <v>170</v>
      </c>
      <c r="C250" s="599" t="s">
        <v>169</v>
      </c>
      <c r="D250" s="169"/>
      <c r="E250" s="169"/>
      <c r="R250" s="1212"/>
    </row>
    <row r="251" spans="1:18" ht="12.75">
      <c r="A251" s="304" t="s">
        <v>168</v>
      </c>
      <c r="B251" s="337">
        <f>(1000+750)/2</f>
        <v>875</v>
      </c>
      <c r="C251" s="315">
        <v>0.5</v>
      </c>
      <c r="D251" s="169"/>
      <c r="E251" s="169"/>
      <c r="R251" s="1212"/>
    </row>
    <row r="252" spans="1:18" ht="12.75">
      <c r="A252" s="303" t="s">
        <v>167</v>
      </c>
      <c r="B252" s="336">
        <f>(6000+15000)/2</f>
        <v>10500</v>
      </c>
      <c r="C252" s="314">
        <v>5</v>
      </c>
      <c r="D252" s="169"/>
      <c r="E252" s="169"/>
      <c r="R252" s="1212"/>
    </row>
    <row r="253" spans="1:18" ht="12.75">
      <c r="A253" s="300" t="s">
        <v>166</v>
      </c>
      <c r="B253" s="169"/>
      <c r="C253" s="169"/>
      <c r="D253" s="169"/>
      <c r="E253" s="169"/>
      <c r="R253" s="1212"/>
    </row>
    <row r="254" spans="1:18" ht="12.75">
      <c r="A254" s="1222" t="s">
        <v>139</v>
      </c>
      <c r="B254" s="1222"/>
      <c r="C254" s="1222"/>
      <c r="D254" s="1222"/>
      <c r="E254" s="169"/>
      <c r="R254" s="1212"/>
    </row>
    <row r="255" spans="1:18" ht="12.75">
      <c r="A255" s="300"/>
      <c r="B255" s="169"/>
      <c r="C255" s="169"/>
      <c r="D255" s="169"/>
      <c r="E255" s="169"/>
      <c r="R255" s="1212"/>
    </row>
    <row r="256" spans="1:18" ht="12.75">
      <c r="A256" s="169"/>
      <c r="B256" s="169"/>
      <c r="C256" s="169"/>
      <c r="D256" s="169"/>
      <c r="E256" s="169"/>
      <c r="R256" s="1212"/>
    </row>
    <row r="257" spans="1:18" ht="12.75">
      <c r="A257" s="301" t="s">
        <v>165</v>
      </c>
      <c r="B257" s="169">
        <v>0.13</v>
      </c>
      <c r="C257" s="169"/>
      <c r="D257" s="169"/>
      <c r="E257" s="169"/>
      <c r="R257" s="1212"/>
    </row>
    <row r="258" spans="1:18" ht="12.75">
      <c r="A258" s="169"/>
      <c r="B258" s="169"/>
      <c r="C258" s="169"/>
      <c r="D258" s="169"/>
      <c r="E258" s="169"/>
      <c r="R258" s="1212"/>
    </row>
    <row r="259" spans="1:18" ht="12.75">
      <c r="A259" s="301" t="s">
        <v>164</v>
      </c>
      <c r="B259" s="169"/>
      <c r="C259" s="169"/>
      <c r="D259" s="169"/>
      <c r="E259" s="169"/>
      <c r="R259" s="1212"/>
    </row>
    <row r="260" spans="1:18" ht="12.75">
      <c r="A260" s="308" t="s">
        <v>163</v>
      </c>
      <c r="B260" s="338"/>
      <c r="C260" s="599">
        <v>5</v>
      </c>
      <c r="D260" s="169"/>
      <c r="E260" s="169"/>
      <c r="R260" s="1212"/>
    </row>
    <row r="261" spans="1:18" ht="25.5">
      <c r="A261" s="304" t="s">
        <v>162</v>
      </c>
      <c r="B261" s="337"/>
      <c r="C261" s="315">
        <v>0.012</v>
      </c>
      <c r="D261" s="169"/>
      <c r="E261" s="169"/>
      <c r="R261" s="1212"/>
    </row>
    <row r="262" spans="1:18" ht="25.5">
      <c r="A262" s="303" t="s">
        <v>161</v>
      </c>
      <c r="B262" s="336"/>
      <c r="C262" s="598">
        <v>0.14</v>
      </c>
      <c r="D262" s="169"/>
      <c r="E262" s="169"/>
      <c r="R262" s="1212"/>
    </row>
    <row r="263" spans="1:18" ht="12.75">
      <c r="A263" s="299" t="s">
        <v>141</v>
      </c>
      <c r="B263" s="169"/>
      <c r="C263" s="169"/>
      <c r="D263" s="169"/>
      <c r="E263" s="169"/>
      <c r="R263" s="1212"/>
    </row>
    <row r="264" spans="1:18" ht="12.75">
      <c r="A264" s="169"/>
      <c r="B264" s="169"/>
      <c r="C264" s="169"/>
      <c r="D264" s="169"/>
      <c r="E264" s="169"/>
      <c r="R264" s="1212"/>
    </row>
    <row r="265" spans="1:18" ht="12.75">
      <c r="A265" s="169" t="s">
        <v>160</v>
      </c>
      <c r="B265" s="169"/>
      <c r="C265" s="309"/>
      <c r="D265" s="169"/>
      <c r="E265" s="309"/>
      <c r="R265" s="1212"/>
    </row>
    <row r="266" spans="1:18" ht="25.5">
      <c r="A266" s="323" t="s">
        <v>159</v>
      </c>
      <c r="B266" s="169">
        <f>6000/5</f>
        <v>1200</v>
      </c>
      <c r="C266" s="309" t="s">
        <v>158</v>
      </c>
      <c r="D266" s="169"/>
      <c r="E266" s="309"/>
      <c r="R266" s="1212"/>
    </row>
    <row r="267" spans="1:18" ht="12.75">
      <c r="A267" s="169" t="s">
        <v>157</v>
      </c>
      <c r="B267" s="169"/>
      <c r="C267" s="309"/>
      <c r="D267" s="169"/>
      <c r="E267" s="309"/>
      <c r="R267" s="1212"/>
    </row>
    <row r="268" spans="1:18" ht="12.75">
      <c r="A268" s="169"/>
      <c r="B268" s="169"/>
      <c r="C268" s="309"/>
      <c r="D268" s="169"/>
      <c r="E268" s="309"/>
      <c r="R268" s="1212"/>
    </row>
    <row r="269" spans="1:18" ht="12.75">
      <c r="A269" s="301" t="s">
        <v>156</v>
      </c>
      <c r="B269" s="169"/>
      <c r="C269" s="309"/>
      <c r="D269" s="169"/>
      <c r="E269" s="309"/>
      <c r="R269" s="1212"/>
    </row>
    <row r="270" spans="1:18" ht="12.75">
      <c r="A270" s="597" t="s">
        <v>155</v>
      </c>
      <c r="B270" s="595" t="s">
        <v>154</v>
      </c>
      <c r="C270" s="596" t="s">
        <v>151</v>
      </c>
      <c r="D270" s="595" t="s">
        <v>153</v>
      </c>
      <c r="E270" s="596" t="s">
        <v>151</v>
      </c>
      <c r="F270" s="1099" t="s">
        <v>152</v>
      </c>
      <c r="G270" s="1099" t="s">
        <v>151</v>
      </c>
      <c r="R270" s="1212"/>
    </row>
    <row r="271" spans="1:18" ht="12.75">
      <c r="A271" s="347" t="s">
        <v>150</v>
      </c>
      <c r="B271" s="594">
        <v>724.12</v>
      </c>
      <c r="C271" s="594" t="s">
        <v>149</v>
      </c>
      <c r="D271" s="594">
        <v>0.0302</v>
      </c>
      <c r="E271" s="594" t="s">
        <v>148</v>
      </c>
      <c r="F271" s="1100">
        <v>0.0081</v>
      </c>
      <c r="G271" s="1100" t="s">
        <v>147</v>
      </c>
      <c r="R271" s="1212"/>
    </row>
    <row r="272" spans="1:18" ht="15">
      <c r="A272" s="1088"/>
      <c r="B272" s="184"/>
      <c r="C272" s="184"/>
      <c r="D272" s="309"/>
      <c r="E272" s="184"/>
      <c r="R272" s="1212"/>
    </row>
    <row r="273" spans="1:18" ht="15">
      <c r="A273" s="1088"/>
      <c r="B273" s="184"/>
      <c r="C273" s="184"/>
      <c r="D273" s="309"/>
      <c r="E273" s="184"/>
      <c r="R273" s="1212"/>
    </row>
    <row r="274" spans="1:18" ht="12.75">
      <c r="A274" s="593" t="s">
        <v>145</v>
      </c>
      <c r="B274" s="592" t="s">
        <v>144</v>
      </c>
      <c r="C274" s="591"/>
      <c r="D274" s="591"/>
      <c r="E274" s="591"/>
      <c r="R274" s="1212"/>
    </row>
    <row r="275" spans="1:18" ht="12.75">
      <c r="A275" s="1089"/>
      <c r="B275" s="1090"/>
      <c r="C275" s="1091"/>
      <c r="D275" s="1091"/>
      <c r="E275" s="184"/>
      <c r="R275" s="1212"/>
    </row>
    <row r="276" spans="1:18" ht="12.75">
      <c r="A276" s="169"/>
      <c r="B276" s="169"/>
      <c r="C276" s="169"/>
      <c r="D276" s="169"/>
      <c r="E276" s="169"/>
      <c r="R276" s="1212"/>
    </row>
    <row r="277" spans="1:18" ht="12.75">
      <c r="A277" s="312" t="s">
        <v>874</v>
      </c>
      <c r="B277" s="309"/>
      <c r="C277" s="309"/>
      <c r="D277" s="169"/>
      <c r="E277" s="169"/>
      <c r="R277" s="1212"/>
    </row>
    <row r="278" spans="1:18" ht="25.5">
      <c r="A278" s="1093" t="s">
        <v>143</v>
      </c>
      <c r="B278" s="1094">
        <v>25</v>
      </c>
      <c r="C278" s="1095" t="s">
        <v>857</v>
      </c>
      <c r="D278" s="169"/>
      <c r="E278" s="169"/>
      <c r="R278" s="1212"/>
    </row>
    <row r="279" spans="1:18" ht="25.5">
      <c r="A279" s="1092" t="s">
        <v>142</v>
      </c>
      <c r="B279" s="1097">
        <v>298</v>
      </c>
      <c r="C279" s="1096" t="s">
        <v>857</v>
      </c>
      <c r="D279" s="169"/>
      <c r="E279" s="169"/>
      <c r="R279" s="1212"/>
    </row>
    <row r="280" spans="1:18" ht="12.75">
      <c r="A280" s="323"/>
      <c r="B280" s="184"/>
      <c r="C280" s="184"/>
      <c r="D280" s="169"/>
      <c r="E280" s="169"/>
      <c r="R280" s="1212"/>
    </row>
    <row r="281" spans="1:18" ht="12.75">
      <c r="A281" s="169" t="s">
        <v>141</v>
      </c>
      <c r="B281" s="184"/>
      <c r="C281" s="184"/>
      <c r="D281" s="169"/>
      <c r="E281" s="169"/>
      <c r="R281" s="1212"/>
    </row>
    <row r="282" spans="1:18" ht="12.75">
      <c r="A282" s="169" t="s">
        <v>140</v>
      </c>
      <c r="B282" s="184"/>
      <c r="C282" s="184"/>
      <c r="D282" s="169"/>
      <c r="E282" s="169"/>
      <c r="R282" s="1212"/>
    </row>
    <row r="283" spans="1:18" ht="12.75">
      <c r="A283" s="169" t="s">
        <v>139</v>
      </c>
      <c r="B283" s="184"/>
      <c r="C283" s="184"/>
      <c r="D283" s="169"/>
      <c r="E283" s="169"/>
      <c r="R283" s="1212"/>
    </row>
    <row r="284" spans="1:18" ht="12.75">
      <c r="A284" s="169" t="s">
        <v>138</v>
      </c>
      <c r="B284" s="184"/>
      <c r="C284" s="184"/>
      <c r="D284" s="169"/>
      <c r="E284" s="169"/>
      <c r="R284" s="1212"/>
    </row>
    <row r="285" spans="1:18" ht="12.75">
      <c r="A285" s="323"/>
      <c r="B285" s="184"/>
      <c r="C285" s="184"/>
      <c r="D285" s="169"/>
      <c r="E285" s="169"/>
      <c r="R285" s="1212"/>
    </row>
    <row r="286" spans="1:18" ht="12.75">
      <c r="A286" s="169"/>
      <c r="B286" s="169"/>
      <c r="C286" s="169"/>
      <c r="D286" s="169"/>
      <c r="E286" s="169"/>
      <c r="R286" s="1212"/>
    </row>
    <row r="287" spans="1:18" ht="12.75">
      <c r="A287" s="169"/>
      <c r="B287" s="169" t="s">
        <v>296</v>
      </c>
      <c r="C287" s="169"/>
      <c r="D287" s="169"/>
      <c r="E287" s="169"/>
      <c r="R287" s="1212"/>
    </row>
    <row r="288" spans="1:18" ht="12.75">
      <c r="A288" s="339" t="s">
        <v>822</v>
      </c>
      <c r="B288" s="1183">
        <v>400</v>
      </c>
      <c r="C288" s="169"/>
      <c r="D288" s="169"/>
      <c r="E288" s="169"/>
      <c r="R288" s="1212"/>
    </row>
    <row r="289" spans="1:18" ht="12.75">
      <c r="A289" s="330" t="s">
        <v>818</v>
      </c>
      <c r="B289" s="1184">
        <v>37</v>
      </c>
      <c r="C289" s="169"/>
      <c r="D289" s="169"/>
      <c r="E289" s="169"/>
      <c r="R289" s="1212"/>
    </row>
    <row r="290" spans="1:18" ht="12.75">
      <c r="A290" s="330" t="s">
        <v>816</v>
      </c>
      <c r="B290" s="1184">
        <v>23</v>
      </c>
      <c r="C290" s="169"/>
      <c r="D290" s="169"/>
      <c r="E290" s="169"/>
      <c r="R290" s="1212"/>
    </row>
    <row r="291" spans="1:18" ht="12.75">
      <c r="A291" s="330" t="s">
        <v>814</v>
      </c>
      <c r="B291" s="1184">
        <v>58</v>
      </c>
      <c r="C291" s="169"/>
      <c r="D291" s="169"/>
      <c r="E291" s="169"/>
      <c r="R291" s="1212"/>
    </row>
    <row r="292" spans="1:18" ht="12.75">
      <c r="A292" s="330" t="s">
        <v>812</v>
      </c>
      <c r="B292" s="1185">
        <v>88</v>
      </c>
      <c r="C292" s="1187">
        <f>SUM(B290:B292)</f>
        <v>169</v>
      </c>
      <c r="D292" s="169"/>
      <c r="E292" s="169"/>
      <c r="R292" s="1212"/>
    </row>
    <row r="293" spans="1:18" ht="12.75">
      <c r="A293" s="330" t="s">
        <v>810</v>
      </c>
      <c r="B293" s="1185">
        <v>68</v>
      </c>
      <c r="C293" s="169"/>
      <c r="D293" s="169"/>
      <c r="E293" s="169"/>
      <c r="R293" s="1212"/>
    </row>
    <row r="294" spans="1:18" ht="12.75">
      <c r="A294" s="330" t="s">
        <v>809</v>
      </c>
      <c r="B294" s="1185">
        <v>156</v>
      </c>
      <c r="C294" s="169"/>
      <c r="D294" s="169"/>
      <c r="E294" s="169"/>
      <c r="R294" s="1212"/>
    </row>
    <row r="295" spans="1:18" ht="12.75">
      <c r="A295" s="330" t="s">
        <v>808</v>
      </c>
      <c r="B295" s="1184">
        <v>3</v>
      </c>
      <c r="C295" s="169"/>
      <c r="D295" s="169"/>
      <c r="E295" s="169"/>
      <c r="R295" s="1212"/>
    </row>
    <row r="296" spans="1:18" ht="12.75">
      <c r="A296" s="329" t="s">
        <v>807</v>
      </c>
      <c r="B296" s="1186">
        <v>1.5</v>
      </c>
      <c r="C296" s="169"/>
      <c r="D296" s="169"/>
      <c r="E296" s="169"/>
      <c r="R296" s="1212"/>
    </row>
    <row r="297" spans="1:18" ht="12.75">
      <c r="A297" s="173"/>
      <c r="B297" s="173"/>
      <c r="C297" s="169"/>
      <c r="D297" s="169"/>
      <c r="E297" s="169"/>
      <c r="R297" s="1212"/>
    </row>
    <row r="298" spans="1:18" ht="12.75">
      <c r="A298" s="173"/>
      <c r="B298" s="173"/>
      <c r="C298" s="169"/>
      <c r="D298" s="169"/>
      <c r="E298" s="169"/>
      <c r="R298" s="1212"/>
    </row>
    <row r="299" spans="1:18" ht="12.75">
      <c r="A299" s="169"/>
      <c r="B299" s="169" t="s">
        <v>295</v>
      </c>
      <c r="C299" s="169"/>
      <c r="D299" s="169"/>
      <c r="E299" s="169"/>
      <c r="R299" s="1212"/>
    </row>
    <row r="300" spans="1:18" ht="12.75">
      <c r="A300" s="339" t="s">
        <v>825</v>
      </c>
      <c r="B300" s="1183">
        <f>9+1</f>
        <v>10</v>
      </c>
      <c r="C300" s="169"/>
      <c r="D300" s="169"/>
      <c r="E300" s="169"/>
      <c r="R300" s="1212"/>
    </row>
    <row r="301" spans="1:18" ht="12.75">
      <c r="A301" s="330" t="s">
        <v>821</v>
      </c>
      <c r="B301" s="1184">
        <f>4.5+1</f>
        <v>5.5</v>
      </c>
      <c r="C301" s="169"/>
      <c r="D301" s="172"/>
      <c r="E301" s="169"/>
      <c r="R301" s="1212"/>
    </row>
    <row r="302" spans="1:18" ht="12.75">
      <c r="A302" s="330" t="s">
        <v>817</v>
      </c>
      <c r="B302" s="1184">
        <f>3+1</f>
        <v>4</v>
      </c>
      <c r="C302" s="169"/>
      <c r="D302" s="172"/>
      <c r="E302" s="169"/>
      <c r="R302" s="1212"/>
    </row>
    <row r="303" spans="1:18" ht="12.75">
      <c r="A303" s="330" t="s">
        <v>815</v>
      </c>
      <c r="B303" s="1184">
        <f>2+1</f>
        <v>3</v>
      </c>
      <c r="C303" s="169"/>
      <c r="D303" s="172"/>
      <c r="E303" s="169"/>
      <c r="R303" s="1212"/>
    </row>
    <row r="304" spans="1:18" ht="12.75">
      <c r="A304" s="330" t="s">
        <v>813</v>
      </c>
      <c r="B304" s="1184">
        <f>1+1</f>
        <v>2</v>
      </c>
      <c r="C304" s="169"/>
      <c r="D304" s="169"/>
      <c r="E304" s="169"/>
      <c r="R304" s="1212"/>
    </row>
    <row r="305" spans="1:18" ht="12.75">
      <c r="A305" s="329" t="s">
        <v>811</v>
      </c>
      <c r="B305" s="1186">
        <v>1</v>
      </c>
      <c r="C305" s="169"/>
      <c r="D305" s="169"/>
      <c r="E305" s="169"/>
      <c r="R305" s="1212"/>
    </row>
    <row r="306" spans="1:18" ht="12.75">
      <c r="A306" s="169"/>
      <c r="B306" s="169"/>
      <c r="C306" s="169"/>
      <c r="D306" s="169"/>
      <c r="E306" s="169"/>
      <c r="R306" s="1212"/>
    </row>
    <row r="307" spans="1:18" ht="12.75">
      <c r="A307" s="169"/>
      <c r="B307" s="169"/>
      <c r="C307" s="169"/>
      <c r="D307" s="169"/>
      <c r="E307" s="169"/>
      <c r="R307" s="1212"/>
    </row>
    <row r="308" spans="1:18" ht="12.75">
      <c r="A308" s="169" t="s">
        <v>294</v>
      </c>
      <c r="B308" s="169"/>
      <c r="C308" s="169"/>
      <c r="D308" s="169"/>
      <c r="E308" s="169"/>
      <c r="R308" s="1212"/>
    </row>
    <row r="309" spans="1:18" ht="12.75">
      <c r="A309" s="169" t="s">
        <v>293</v>
      </c>
      <c r="B309" s="1176">
        <f>B295+(2*B296)</f>
        <v>6</v>
      </c>
      <c r="C309" s="169"/>
      <c r="D309" s="169"/>
      <c r="E309" s="169"/>
      <c r="R309" s="1212"/>
    </row>
    <row r="310" spans="1:18" ht="12.75">
      <c r="A310" s="169"/>
      <c r="B310" s="169"/>
      <c r="C310" s="169"/>
      <c r="D310" s="169"/>
      <c r="E310" s="169"/>
      <c r="R310" s="1212"/>
    </row>
    <row r="311" spans="1:18" ht="12.75">
      <c r="A311" s="169"/>
      <c r="B311" s="169"/>
      <c r="C311" s="169"/>
      <c r="D311" s="169"/>
      <c r="E311" s="169"/>
      <c r="R311" s="1212"/>
    </row>
    <row r="312" spans="1:18" ht="12.75">
      <c r="A312" s="792"/>
      <c r="B312" s="809"/>
      <c r="C312" s="310"/>
      <c r="D312" s="790"/>
      <c r="E312" s="173"/>
      <c r="F312" s="173"/>
      <c r="G312" s="173"/>
      <c r="H312" s="173"/>
      <c r="I312" s="173"/>
      <c r="R312" s="1212"/>
    </row>
    <row r="313" spans="1:18" ht="12.75">
      <c r="A313" s="791" t="s">
        <v>292</v>
      </c>
      <c r="B313" s="809"/>
      <c r="C313" s="310"/>
      <c r="D313" s="790"/>
      <c r="E313" s="1388" t="s">
        <v>291</v>
      </c>
      <c r="F313" s="1389"/>
      <c r="G313" s="1390"/>
      <c r="H313" s="173"/>
      <c r="I313" s="173"/>
      <c r="R313" s="1212"/>
    </row>
    <row r="314" spans="1:18" ht="25.5">
      <c r="A314" s="807" t="s">
        <v>457</v>
      </c>
      <c r="B314" s="806" t="s">
        <v>458</v>
      </c>
      <c r="C314" s="805" t="s">
        <v>290</v>
      </c>
      <c r="D314" s="804" t="s">
        <v>289</v>
      </c>
      <c r="E314" s="803" t="s">
        <v>493</v>
      </c>
      <c r="F314" s="802" t="s">
        <v>613</v>
      </c>
      <c r="G314" s="801" t="s">
        <v>494</v>
      </c>
      <c r="H314" s="800" t="s">
        <v>488</v>
      </c>
      <c r="I314" s="298" t="s">
        <v>19</v>
      </c>
      <c r="R314" s="1212"/>
    </row>
    <row r="315" spans="1:18" ht="12.75">
      <c r="A315" s="169" t="s">
        <v>803</v>
      </c>
      <c r="B315" s="1180">
        <v>0.17</v>
      </c>
      <c r="C315" s="1176">
        <f>0.63</f>
        <v>0.63</v>
      </c>
      <c r="D315" s="1176" t="s">
        <v>275</v>
      </c>
      <c r="E315" s="1172">
        <f>Conversions!$B$22*($C315/16)</f>
        <v>0.48842945569366486</v>
      </c>
      <c r="F315" s="1171">
        <f>(Conversions!$C$22+$D$48)*($C315/16)</f>
        <v>0.6675951718604652</v>
      </c>
      <c r="G315" s="1171">
        <f>Conversions!$D$22*($C315/16)</f>
        <v>0.636002722323049</v>
      </c>
      <c r="H315" s="599"/>
      <c r="I315" s="169" t="s">
        <v>288</v>
      </c>
      <c r="R315" s="1212"/>
    </row>
    <row r="316" spans="1:18" ht="12.75">
      <c r="A316" s="169" t="s">
        <v>800</v>
      </c>
      <c r="B316" s="1180">
        <v>0.06</v>
      </c>
      <c r="C316" s="1176">
        <v>0.28</v>
      </c>
      <c r="D316" s="1176" t="s">
        <v>275</v>
      </c>
      <c r="E316" s="1172">
        <f>Conversions!$B$22*($C316/16)</f>
        <v>0.2170797580860733</v>
      </c>
      <c r="F316" s="1171">
        <f>(Conversions!$C$22+$D$48)*($C316/16)</f>
        <v>0.2967089652713179</v>
      </c>
      <c r="G316" s="1171">
        <f>Conversions!$D$22*($C316/16)</f>
        <v>0.2826678765880218</v>
      </c>
      <c r="H316" s="315"/>
      <c r="I316" s="169" t="s">
        <v>288</v>
      </c>
      <c r="R316" s="1212"/>
    </row>
    <row r="317" spans="1:18" ht="12.75">
      <c r="A317" s="169" t="s">
        <v>797</v>
      </c>
      <c r="B317" s="1180">
        <v>0.02</v>
      </c>
      <c r="C317" s="1176">
        <v>0.43</v>
      </c>
      <c r="D317" s="1176" t="s">
        <v>394</v>
      </c>
      <c r="E317" s="1173">
        <f>Conversions!$B$38*($C317/16)</f>
        <v>0.11813879201711457</v>
      </c>
      <c r="F317" s="1162">
        <f>(Conversions!$C$38+$D$49)*($C317/16)</f>
        <v>0.07998478375</v>
      </c>
      <c r="G317" s="1162">
        <f>Conversions!$D$38*($C317/16)</f>
        <v>0.2183728125</v>
      </c>
      <c r="H317" s="1164">
        <f>Conversions!$E$38*($C317/16)</f>
        <v>0.05375</v>
      </c>
      <c r="I317" s="169" t="s">
        <v>287</v>
      </c>
      <c r="R317" s="1212"/>
    </row>
    <row r="318" spans="1:18" ht="12.75">
      <c r="A318" s="169" t="s">
        <v>794</v>
      </c>
      <c r="B318" s="1180">
        <v>0.05</v>
      </c>
      <c r="C318" s="1176">
        <v>0.35</v>
      </c>
      <c r="D318" s="1176" t="s">
        <v>394</v>
      </c>
      <c r="E318" s="1173">
        <f>Conversions!$B$38*($C318/16)</f>
        <v>0.09615948187439557</v>
      </c>
      <c r="F318" s="1162">
        <f>(Conversions!$C$38+$D$49)*($C318/16)</f>
        <v>0.06510389375</v>
      </c>
      <c r="G318" s="1162">
        <f>Conversions!$D$38*($C318/16)</f>
        <v>0.1777453125</v>
      </c>
      <c r="H318" s="1164">
        <f>Conversions!$E$38*($C318/16)</f>
        <v>0.04375</v>
      </c>
      <c r="I318" s="169" t="s">
        <v>286</v>
      </c>
      <c r="R318" s="1212"/>
    </row>
    <row r="319" spans="1:18" ht="12.75">
      <c r="A319" s="169" t="s">
        <v>792</v>
      </c>
      <c r="B319" s="1180">
        <v>0.04</v>
      </c>
      <c r="C319" s="1176">
        <v>0.14</v>
      </c>
      <c r="D319" s="1176" t="s">
        <v>395</v>
      </c>
      <c r="E319" s="1173">
        <f>Conversions!B17*($C319/16)</f>
        <v>0.11125180661658157</v>
      </c>
      <c r="F319" s="1162">
        <f>(Conversions!$C$17+$D$48)*($C319/16)</f>
        <v>0.15205083991840065</v>
      </c>
      <c r="G319" s="1162">
        <f>Conversions!$D$17*($C319/16)</f>
        <v>0.17150635208711437</v>
      </c>
      <c r="H319" s="307"/>
      <c r="I319" s="169"/>
      <c r="R319" s="1212"/>
    </row>
    <row r="320" spans="1:18" ht="12.75">
      <c r="A320" s="169" t="s">
        <v>285</v>
      </c>
      <c r="B320" s="1180">
        <v>1.99</v>
      </c>
      <c r="C320" s="1176">
        <v>6.1</v>
      </c>
      <c r="D320" s="1176" t="s">
        <v>940</v>
      </c>
      <c r="E320" s="1172">
        <f>Conversions!$B$22*($C320/16)</f>
        <v>4.7292375868751675</v>
      </c>
      <c r="F320" s="1171">
        <f>(Conversions!$C$22+$D$48)*($C320/16)</f>
        <v>6.464016743410854</v>
      </c>
      <c r="G320" s="1171">
        <f>Conversions!$D$22*($C320/16)</f>
        <v>6.158121597096188</v>
      </c>
      <c r="H320" s="307"/>
      <c r="I320" s="335" t="s">
        <v>941</v>
      </c>
      <c r="R320" s="1212"/>
    </row>
    <row r="321" spans="1:18" ht="12.75">
      <c r="A321" s="169" t="s">
        <v>802</v>
      </c>
      <c r="B321" s="1180">
        <v>0.025</v>
      </c>
      <c r="C321" s="1176">
        <v>0.33</v>
      </c>
      <c r="D321" s="1177" t="s">
        <v>284</v>
      </c>
      <c r="E321" s="1173">
        <f>Conversions!$B$19*($C321/16)</f>
        <v>0.24248950472824532</v>
      </c>
      <c r="F321" s="1162">
        <f>(Conversions!$C$19+$D$48)*($C321/16)</f>
        <v>0.33149053119459837</v>
      </c>
      <c r="G321" s="1162">
        <f>Conversions!$D$19*($C321/16)</f>
        <v>0.1544067604355717</v>
      </c>
      <c r="H321" s="307"/>
      <c r="I321" s="169" t="s">
        <v>283</v>
      </c>
      <c r="R321" s="1212"/>
    </row>
    <row r="322" spans="1:18" ht="12.75">
      <c r="A322" s="169" t="s">
        <v>799</v>
      </c>
      <c r="B322" s="1180">
        <v>0.042</v>
      </c>
      <c r="C322" s="1178">
        <v>0.3</v>
      </c>
      <c r="D322" s="1176" t="s">
        <v>394</v>
      </c>
      <c r="E322" s="1173">
        <f>Conversions!$B$38*($C322/16)</f>
        <v>0.08242241303519621</v>
      </c>
      <c r="F322" s="1162">
        <f>(Conversions!$C$38+$D$49)*($C322/16)</f>
        <v>0.0558033375</v>
      </c>
      <c r="G322" s="1162">
        <f>Conversions!$D$351*($C322/16)</f>
        <v>0.152353125</v>
      </c>
      <c r="H322" s="1164">
        <f>Conversions!$E$351*($C322/16)</f>
        <v>0.0375</v>
      </c>
      <c r="I322" s="169" t="s">
        <v>282</v>
      </c>
      <c r="R322" s="1212"/>
    </row>
    <row r="323" spans="1:18" ht="12.75">
      <c r="A323" s="169" t="s">
        <v>796</v>
      </c>
      <c r="B323" s="1180">
        <v>0.039</v>
      </c>
      <c r="C323" s="1176">
        <v>0.06</v>
      </c>
      <c r="D323" s="1176" t="s">
        <v>395</v>
      </c>
      <c r="E323" s="1173">
        <f>Conversions!B21*($C323/16)</f>
        <v>0.049489110707803985</v>
      </c>
      <c r="F323" s="1162">
        <f>(Conversions!$C$17+$D$48)*($C323/16)</f>
        <v>0.06516464567931457</v>
      </c>
      <c r="G323" s="1162">
        <f>Conversions!$D$17*($C323/16)</f>
        <v>0.073502722323049</v>
      </c>
      <c r="H323" s="1164">
        <f>Conversions!$E$351*($C323/16)</f>
        <v>0.0075</v>
      </c>
      <c r="I323" s="169" t="s">
        <v>281</v>
      </c>
      <c r="R323" s="1212"/>
    </row>
    <row r="324" spans="1:18" ht="12.75">
      <c r="A324" s="169" t="s">
        <v>280</v>
      </c>
      <c r="B324" s="1180">
        <v>0.0398</v>
      </c>
      <c r="C324" s="1176">
        <v>0.46</v>
      </c>
      <c r="D324" s="1176" t="s">
        <v>275</v>
      </c>
      <c r="E324" s="1172">
        <f>Conversions!$B$22*($C324/16)</f>
        <v>0.3566310311414061</v>
      </c>
      <c r="F324" s="1171">
        <f>(Conversions!$C$22+$D$48)*($C324/16)</f>
        <v>0.48745044294573653</v>
      </c>
      <c r="G324" s="1171">
        <f>Conversions!$D$22*($C324/16)</f>
        <v>0.4643829401088929</v>
      </c>
      <c r="H324" s="315"/>
      <c r="I324" s="169" t="s">
        <v>279</v>
      </c>
      <c r="R324" s="1212"/>
    </row>
    <row r="325" spans="1:18" ht="12.75">
      <c r="A325" s="169" t="s">
        <v>278</v>
      </c>
      <c r="B325" s="1180">
        <v>0.041</v>
      </c>
      <c r="C325" s="1176">
        <v>0.15</v>
      </c>
      <c r="D325" s="1176" t="s">
        <v>275</v>
      </c>
      <c r="E325" s="1172">
        <f>Conversions!$B$22*($C325/16)</f>
        <v>0.11629272754611068</v>
      </c>
      <c r="F325" s="1171">
        <f>(Conversions!$C$22+$D$48)*($C325/16)</f>
        <v>0.15895123139534886</v>
      </c>
      <c r="G325" s="1171">
        <f>Conversions!$D$22*($C325/16)</f>
        <v>0.15142921960072595</v>
      </c>
      <c r="H325" s="315"/>
      <c r="I325" s="169"/>
      <c r="R325" s="1212"/>
    </row>
    <row r="326" spans="1:18" ht="12.75">
      <c r="A326" s="169" t="s">
        <v>277</v>
      </c>
      <c r="B326" s="1180">
        <v>0.041</v>
      </c>
      <c r="C326" s="1176">
        <v>0.16</v>
      </c>
      <c r="D326" s="1176" t="s">
        <v>275</v>
      </c>
      <c r="E326" s="1172">
        <f>Conversions!$B$22*($C326/16)</f>
        <v>0.12404557604918473</v>
      </c>
      <c r="F326" s="1171">
        <f>(Conversions!$C$22+$D$48)*($C326/16)</f>
        <v>0.1695479801550388</v>
      </c>
      <c r="G326" s="1171">
        <f>Conversions!$D$22*($C326/16)</f>
        <v>0.161524500907441</v>
      </c>
      <c r="H326" s="315"/>
      <c r="I326" s="169"/>
      <c r="R326" s="1212"/>
    </row>
    <row r="327" spans="1:18" ht="12.75">
      <c r="A327" s="169" t="s">
        <v>276</v>
      </c>
      <c r="B327" s="1180">
        <v>0.041</v>
      </c>
      <c r="C327" s="1176">
        <v>0.11</v>
      </c>
      <c r="D327" s="1176" t="s">
        <v>275</v>
      </c>
      <c r="E327" s="1172">
        <f>Conversions!$B$22*($C327/16)</f>
        <v>0.08528133353381451</v>
      </c>
      <c r="F327" s="1171">
        <f>(Conversions!$C$22+$D$48)*($C327/16)</f>
        <v>0.11656423635658918</v>
      </c>
      <c r="G327" s="1171">
        <f>Conversions!$D$22*($C327/16)</f>
        <v>0.11104809437386569</v>
      </c>
      <c r="H327" s="315"/>
      <c r="I327" s="169"/>
      <c r="R327" s="1212"/>
    </row>
    <row r="328" spans="1:18" ht="12.75">
      <c r="A328" s="169" t="s">
        <v>397</v>
      </c>
      <c r="B328" s="1181">
        <v>0.5</v>
      </c>
      <c r="C328" s="1176">
        <v>0.95</v>
      </c>
      <c r="D328" s="1179" t="s">
        <v>396</v>
      </c>
      <c r="E328" s="1174"/>
      <c r="F328" s="1175">
        <f>C328/16*1.7</f>
        <v>0.1009375</v>
      </c>
      <c r="G328" s="337"/>
      <c r="H328" s="315"/>
      <c r="I328" s="169"/>
      <c r="R328" s="1212"/>
    </row>
    <row r="329" spans="1:18" ht="12.75">
      <c r="A329" s="169" t="s">
        <v>398</v>
      </c>
      <c r="B329" s="1181">
        <v>0.5</v>
      </c>
      <c r="C329" s="1176">
        <v>2.15</v>
      </c>
      <c r="D329" s="1179" t="s">
        <v>396</v>
      </c>
      <c r="E329" s="1174"/>
      <c r="F329" s="1175">
        <f>C329/16*1.7</f>
        <v>0.2284375</v>
      </c>
      <c r="G329" s="337"/>
      <c r="H329" s="315"/>
      <c r="I329" s="169"/>
      <c r="R329" s="1212"/>
    </row>
    <row r="330" spans="1:18" ht="12.75">
      <c r="A330" s="169" t="s">
        <v>399</v>
      </c>
      <c r="B330" s="1181">
        <v>0.5</v>
      </c>
      <c r="C330" s="1176">
        <v>1.35</v>
      </c>
      <c r="D330" s="1179" t="s">
        <v>396</v>
      </c>
      <c r="E330" s="1174"/>
      <c r="F330" s="1175">
        <f>C330/16*1.7</f>
        <v>0.1434375</v>
      </c>
      <c r="G330" s="337"/>
      <c r="H330" s="315"/>
      <c r="I330" s="169"/>
      <c r="R330" s="1212"/>
    </row>
    <row r="331" spans="1:18" ht="12.75">
      <c r="A331" s="330" t="s">
        <v>801</v>
      </c>
      <c r="B331" s="1181">
        <f>3*B327</f>
        <v>0.123</v>
      </c>
      <c r="C331" s="1162">
        <f>C325+C326+C327</f>
        <v>0.42</v>
      </c>
      <c r="D331" s="1176" t="s">
        <v>275</v>
      </c>
      <c r="E331" s="1172">
        <f>Conversions!$B$22*($C331/16)</f>
        <v>0.3256196371291099</v>
      </c>
      <c r="F331" s="1171">
        <f>(Conversions!$C$22+$D$48)*($C331/16)</f>
        <v>0.44506344790697683</v>
      </c>
      <c r="G331" s="1171">
        <f>Conversions!$D$22*($C331/16)</f>
        <v>0.4240018148820326</v>
      </c>
      <c r="H331" s="315"/>
      <c r="I331" s="169"/>
      <c r="R331" s="1212"/>
    </row>
    <row r="332" spans="1:18" ht="12.75">
      <c r="A332" s="330" t="s">
        <v>798</v>
      </c>
      <c r="B332" s="1181">
        <f>2*B327</f>
        <v>0.082</v>
      </c>
      <c r="C332" s="1162">
        <f>C325+C327</f>
        <v>0.26</v>
      </c>
      <c r="D332" s="1176" t="s">
        <v>275</v>
      </c>
      <c r="E332" s="1172">
        <f>Conversions!$B$22*($C332/16)</f>
        <v>0.2015740610799252</v>
      </c>
      <c r="F332" s="1171">
        <f>(Conversions!$C$22+$D$48)*($C332/16)</f>
        <v>0.275515467751938</v>
      </c>
      <c r="G332" s="1171">
        <f>Conversions!$D$22*($C332/16)</f>
        <v>0.2624773139745916</v>
      </c>
      <c r="H332" s="315"/>
      <c r="I332" s="169"/>
      <c r="R332" s="1212"/>
    </row>
    <row r="333" spans="1:18" ht="12.75">
      <c r="A333" s="330" t="s">
        <v>795</v>
      </c>
      <c r="B333" s="1181">
        <f>2*B327</f>
        <v>0.082</v>
      </c>
      <c r="C333" s="1162">
        <f>C325+C326</f>
        <v>0.31</v>
      </c>
      <c r="D333" s="1176" t="s">
        <v>275</v>
      </c>
      <c r="E333" s="1172">
        <f>Conversions!$B$22*($C333/16)</f>
        <v>0.24033830359529543</v>
      </c>
      <c r="F333" s="1171">
        <f>(Conversions!$C$22+$D$48)*($C333/16)</f>
        <v>0.32849921155038764</v>
      </c>
      <c r="G333" s="1171">
        <f>Conversions!$D$22*($C333/16)</f>
        <v>0.31295372050816694</v>
      </c>
      <c r="H333" s="315"/>
      <c r="I333" s="169"/>
      <c r="R333" s="1212"/>
    </row>
    <row r="334" spans="1:18" ht="12.75">
      <c r="A334" s="330" t="s">
        <v>793</v>
      </c>
      <c r="B334" s="1181">
        <f>B327</f>
        <v>0.041</v>
      </c>
      <c r="C334" s="1162">
        <f>C325</f>
        <v>0.15</v>
      </c>
      <c r="D334" s="1176" t="s">
        <v>275</v>
      </c>
      <c r="E334" s="1172">
        <f>Conversions!$B$22*($C334/16)</f>
        <v>0.11629272754611068</v>
      </c>
      <c r="F334" s="1171">
        <f>(Conversions!$C$22+$D$48)*($C334/16)</f>
        <v>0.15895123139534886</v>
      </c>
      <c r="G334" s="1171">
        <f>Conversions!$D$22*($C334/16)</f>
        <v>0.15142921960072595</v>
      </c>
      <c r="H334" s="315"/>
      <c r="I334" s="169"/>
      <c r="R334" s="1212"/>
    </row>
    <row r="335" spans="1:18" ht="12.75">
      <c r="A335" s="330" t="s">
        <v>791</v>
      </c>
      <c r="B335" s="1181">
        <f>B327</f>
        <v>0.041</v>
      </c>
      <c r="C335" s="1162">
        <f>C327</f>
        <v>0.11</v>
      </c>
      <c r="D335" s="1176" t="s">
        <v>275</v>
      </c>
      <c r="E335" s="1172">
        <f>Conversions!$B$22*($C335/16)</f>
        <v>0.08528133353381451</v>
      </c>
      <c r="F335" s="1171">
        <f>(Conversions!$C$22+$D$48)*($C335/16)</f>
        <v>0.11656423635658918</v>
      </c>
      <c r="G335" s="1171">
        <f>Conversions!$D$22*($C335/16)</f>
        <v>0.11104809437386569</v>
      </c>
      <c r="H335" s="315"/>
      <c r="I335" s="169"/>
      <c r="R335" s="1212"/>
    </row>
    <row r="336" spans="1:18" ht="12.75">
      <c r="A336" s="799" t="s">
        <v>400</v>
      </c>
      <c r="B336" s="1182">
        <f>3*B330</f>
        <v>1.5</v>
      </c>
      <c r="C336" s="1169">
        <f>C328+C329+C330</f>
        <v>4.449999999999999</v>
      </c>
      <c r="D336" s="1179" t="s">
        <v>396</v>
      </c>
      <c r="E336" s="329"/>
      <c r="F336" s="1170">
        <f>C336/16*1.7</f>
        <v>0.4728124999999999</v>
      </c>
      <c r="G336" s="336"/>
      <c r="H336" s="314"/>
      <c r="I336" s="169"/>
      <c r="R336" s="1212"/>
    </row>
    <row r="337" spans="1:18" ht="12.75">
      <c r="A337" s="463"/>
      <c r="B337" s="1188"/>
      <c r="C337" s="184" t="s">
        <v>401</v>
      </c>
      <c r="D337" s="790"/>
      <c r="E337" s="173"/>
      <c r="F337" s="173"/>
      <c r="G337" s="173"/>
      <c r="H337" s="173"/>
      <c r="I337" s="169"/>
      <c r="R337" s="1212"/>
    </row>
    <row r="338" ht="12.75">
      <c r="R338" s="1212"/>
    </row>
    <row r="339" ht="12.75">
      <c r="R339" s="1212"/>
    </row>
    <row r="340" ht="12.75">
      <c r="R340" s="1212"/>
    </row>
    <row r="341" spans="1:18" ht="12.75">
      <c r="A341" s="798" t="s">
        <v>274</v>
      </c>
      <c r="B341" s="797"/>
      <c r="C341" s="1168">
        <v>20</v>
      </c>
      <c r="D341" s="796" t="s">
        <v>273</v>
      </c>
      <c r="R341" s="1212"/>
    </row>
    <row r="342" spans="1:18" ht="12.75">
      <c r="A342" s="795" t="s">
        <v>272</v>
      </c>
      <c r="B342" s="794"/>
      <c r="C342" s="1167">
        <v>5</v>
      </c>
      <c r="D342" s="327" t="s">
        <v>271</v>
      </c>
      <c r="R342" s="1212"/>
    </row>
    <row r="343" ht="12.75">
      <c r="R343" s="1212"/>
    </row>
    <row r="344" ht="12.75">
      <c r="R344" s="1212"/>
    </row>
    <row r="345" spans="1:18" ht="12.75">
      <c r="A345" s="322" t="s">
        <v>505</v>
      </c>
      <c r="B345" s="24"/>
      <c r="C345" s="319"/>
      <c r="D345" s="319"/>
      <c r="E345" s="321"/>
      <c r="R345" s="1212"/>
    </row>
    <row r="346" spans="1:18" ht="12.75">
      <c r="A346" s="808" t="s">
        <v>485</v>
      </c>
      <c r="B346" s="811" t="s">
        <v>486</v>
      </c>
      <c r="C346" s="811" t="s">
        <v>487</v>
      </c>
      <c r="D346" s="811" t="s">
        <v>494</v>
      </c>
      <c r="E346" s="800" t="s">
        <v>488</v>
      </c>
      <c r="R346" s="1212"/>
    </row>
    <row r="347" spans="1:18" ht="12.75">
      <c r="A347" s="308" t="s">
        <v>489</v>
      </c>
      <c r="B347" s="1160">
        <v>4.395862028543798</v>
      </c>
      <c r="C347" s="1160">
        <v>2.941</v>
      </c>
      <c r="D347" s="1160">
        <v>11.1095</v>
      </c>
      <c r="E347" s="1163">
        <v>4</v>
      </c>
      <c r="R347" s="1212"/>
    </row>
    <row r="348" spans="1:18" ht="12.75">
      <c r="A348" s="304" t="s">
        <v>490</v>
      </c>
      <c r="B348" s="1161">
        <v>3.9562758256894175</v>
      </c>
      <c r="C348" s="1161">
        <v>2.572</v>
      </c>
      <c r="D348" s="1161">
        <v>9.3325</v>
      </c>
      <c r="E348" s="1164">
        <v>3</v>
      </c>
      <c r="R348" s="1212"/>
    </row>
    <row r="349" spans="1:18" ht="12.75">
      <c r="A349" s="304" t="s">
        <v>491</v>
      </c>
      <c r="B349" s="1161">
        <v>3.2236321542654514</v>
      </c>
      <c r="C349" s="1161">
        <v>1.711</v>
      </c>
      <c r="D349" s="1161">
        <v>5.186</v>
      </c>
      <c r="E349" s="1164">
        <v>0</v>
      </c>
      <c r="R349" s="1212"/>
    </row>
    <row r="350" spans="1:18" ht="12.75">
      <c r="A350" s="317" t="s">
        <v>669</v>
      </c>
      <c r="B350" s="1161">
        <v>4.688919497113384</v>
      </c>
      <c r="C350" s="1161">
        <v>3.558</v>
      </c>
      <c r="D350" s="1161">
        <v>8.124</v>
      </c>
      <c r="E350" s="1164">
        <v>3</v>
      </c>
      <c r="R350" s="1212"/>
    </row>
    <row r="351" spans="1:18" ht="12.75">
      <c r="A351" s="317" t="s">
        <v>460</v>
      </c>
      <c r="B351" s="316">
        <v>4.395862028543798</v>
      </c>
      <c r="C351" s="316">
        <v>3.374</v>
      </c>
      <c r="D351" s="316">
        <v>8.1255</v>
      </c>
      <c r="E351" s="307">
        <v>2</v>
      </c>
      <c r="R351" s="1212"/>
    </row>
    <row r="352" spans="1:18" ht="25.5">
      <c r="A352" s="317" t="s">
        <v>461</v>
      </c>
      <c r="B352" s="1161">
        <v>3.9562758256894175</v>
      </c>
      <c r="C352" s="1161">
        <v>2.825</v>
      </c>
      <c r="D352" s="1161">
        <v>5.769</v>
      </c>
      <c r="E352" s="1164">
        <v>4</v>
      </c>
      <c r="R352" s="1212"/>
    </row>
    <row r="353" spans="1:18" ht="25.5">
      <c r="A353" s="317" t="s">
        <v>462</v>
      </c>
      <c r="B353" s="1161">
        <v>3.2236321542654514</v>
      </c>
      <c r="C353" s="1161">
        <v>2.192</v>
      </c>
      <c r="D353" s="1161">
        <v>3.3795</v>
      </c>
      <c r="E353" s="1164">
        <v>2</v>
      </c>
      <c r="R353" s="1212"/>
    </row>
    <row r="354" spans="1:18" ht="12.75">
      <c r="A354" s="810" t="s">
        <v>531</v>
      </c>
      <c r="B354" s="1165">
        <v>4.688919497113384</v>
      </c>
      <c r="C354" s="1165">
        <v>3.5685</v>
      </c>
      <c r="D354" s="1165">
        <v>11.727</v>
      </c>
      <c r="E354" s="1166">
        <v>4</v>
      </c>
      <c r="R354" s="1212"/>
    </row>
    <row r="355" spans="1:18" ht="12.75">
      <c r="A355" s="1391" t="s">
        <v>463</v>
      </c>
      <c r="B355" s="1392"/>
      <c r="C355" s="1392"/>
      <c r="D355" s="1392"/>
      <c r="E355" s="1392"/>
      <c r="R355" s="1212"/>
    </row>
    <row r="356" spans="1:5" ht="12.75">
      <c r="A356" s="1393" t="s">
        <v>607</v>
      </c>
      <c r="B356" s="1393"/>
      <c r="C356" s="1393"/>
      <c r="D356" s="1393"/>
      <c r="E356" s="1393"/>
    </row>
  </sheetData>
  <sheetProtection/>
  <mergeCells count="45">
    <mergeCell ref="E313:G313"/>
    <mergeCell ref="A355:E355"/>
    <mergeCell ref="A356:E356"/>
    <mergeCell ref="A51:C51"/>
    <mergeCell ref="A29:E29"/>
    <mergeCell ref="A28:E28"/>
    <mergeCell ref="A43:E43"/>
    <mergeCell ref="A85:E85"/>
    <mergeCell ref="A54:C54"/>
    <mergeCell ref="A53:C53"/>
    <mergeCell ref="C172:D172"/>
    <mergeCell ref="E173:F173"/>
    <mergeCell ref="E172:F172"/>
    <mergeCell ref="C160:D160"/>
    <mergeCell ref="C161:D161"/>
    <mergeCell ref="C162:D162"/>
    <mergeCell ref="C163:D163"/>
    <mergeCell ref="A25:E25"/>
    <mergeCell ref="A26:E26"/>
    <mergeCell ref="A52:C52"/>
    <mergeCell ref="A48:C48"/>
    <mergeCell ref="A49:C49"/>
    <mergeCell ref="A50:C50"/>
    <mergeCell ref="A27:E27"/>
    <mergeCell ref="A42:E42"/>
    <mergeCell ref="A30:E30"/>
    <mergeCell ref="A47:C47"/>
    <mergeCell ref="A254:D254"/>
    <mergeCell ref="D235:E235"/>
    <mergeCell ref="E176:F176"/>
    <mergeCell ref="E177:F177"/>
    <mergeCell ref="A183:K183"/>
    <mergeCell ref="A182:K182"/>
    <mergeCell ref="A181:K181"/>
    <mergeCell ref="C176:D176"/>
    <mergeCell ref="C177:D177"/>
    <mergeCell ref="A198:E198"/>
    <mergeCell ref="B209:K209"/>
    <mergeCell ref="B215:K215"/>
    <mergeCell ref="B220:K220"/>
    <mergeCell ref="C173:D173"/>
    <mergeCell ref="E175:F175"/>
    <mergeCell ref="C175:D175"/>
    <mergeCell ref="E174:F174"/>
    <mergeCell ref="C174:D174"/>
  </mergeCells>
  <hyperlinks>
    <hyperlink ref="A187" r:id="rId1" display="http://www.erasecarbonfootprint.com/reduce-co2.html"/>
    <hyperlink ref="A189" r:id="rId2" display="http://www.ci.emeryville.ca.us/DocumentView.aspx?DID=330"/>
    <hyperlink ref="A191" r:id="rId3" display="http://reviews.cnet.com/green-tech/tv-power-efficiency/"/>
    <hyperlink ref="B274" r:id="rId4" display="http://www.climateregistry.org/resources/docs/protocols/grp/GRP_3.1_January2009.pdf"/>
  </hyperlinks>
  <printOptions headings="1"/>
  <pageMargins left="0.75" right="0.75" top="0.5" bottom="0.5" header="0.5" footer="0.5"/>
  <pageSetup fitToHeight="2" fitToWidth="1" horizontalDpi="600" verticalDpi="600" orientation="portrait" paperSize="3" r:id="rId7"/>
  <headerFooter alignWithMargins="0">
    <oddHeader>&amp;CConversions for Stopwaste.org Web Calculator</oddHeader>
    <oddFooter>&amp;L&amp;F&amp;RPrepared: Sept 23, 2009</oddFooter>
  </headerFooter>
  <rowBreaks count="1" manualBreakCount="1">
    <brk id="44" max="255" man="1"/>
  </rowBreaks>
  <legacyDrawing r:id="rId6"/>
</worksheet>
</file>

<file path=xl/worksheets/sheet23.xml><?xml version="1.0" encoding="utf-8"?>
<worksheet xmlns="http://schemas.openxmlformats.org/spreadsheetml/2006/main" xmlns:r="http://schemas.openxmlformats.org/officeDocument/2006/relationships">
  <sheetPr codeName="Sheet2">
    <tabColor theme="0" tint="-0.24997000396251678"/>
    <pageSetUpPr fitToPage="1"/>
  </sheetPr>
  <dimension ref="A1:S13"/>
  <sheetViews>
    <sheetView zoomScalePageLayoutView="0" workbookViewId="0" topLeftCell="A1">
      <selection activeCell="A1" sqref="A1"/>
    </sheetView>
  </sheetViews>
  <sheetFormatPr defaultColWidth="9.140625" defaultRowHeight="12.75"/>
  <cols>
    <col min="1" max="1" width="19.140625" style="0" customWidth="1"/>
    <col min="2" max="3" width="17.140625" style="95" customWidth="1"/>
    <col min="4" max="7" width="17.140625" style="0" customWidth="1"/>
    <col min="8" max="19" width="17.140625" style="95" customWidth="1"/>
  </cols>
  <sheetData>
    <row r="1" ht="12.75">
      <c r="A1" s="4" t="s">
        <v>554</v>
      </c>
    </row>
    <row r="2" spans="1:19" ht="38.25">
      <c r="A2" s="96"/>
      <c r="B2" s="97" t="s">
        <v>555</v>
      </c>
      <c r="C2" s="97" t="s">
        <v>556</v>
      </c>
      <c r="D2" s="1407" t="s">
        <v>557</v>
      </c>
      <c r="E2" s="1408"/>
      <c r="F2" s="1407" t="s">
        <v>558</v>
      </c>
      <c r="G2" s="1408"/>
      <c r="H2" s="97" t="s">
        <v>559</v>
      </c>
      <c r="I2" s="97" t="s">
        <v>560</v>
      </c>
      <c r="J2" s="97" t="s">
        <v>561</v>
      </c>
      <c r="K2" s="97" t="s">
        <v>562</v>
      </c>
      <c r="L2" s="97" t="s">
        <v>563</v>
      </c>
      <c r="M2" s="97" t="s">
        <v>564</v>
      </c>
      <c r="N2" s="97" t="s">
        <v>565</v>
      </c>
      <c r="O2" s="97" t="s">
        <v>566</v>
      </c>
      <c r="P2" s="97" t="s">
        <v>567</v>
      </c>
      <c r="Q2" s="97" t="s">
        <v>568</v>
      </c>
      <c r="R2" s="97" t="s">
        <v>569</v>
      </c>
      <c r="S2" s="97" t="s">
        <v>570</v>
      </c>
    </row>
    <row r="3" spans="1:19" ht="39.75" customHeight="1">
      <c r="A3" s="64" t="s">
        <v>571</v>
      </c>
      <c r="B3" s="98">
        <v>4</v>
      </c>
      <c r="C3" s="99">
        <v>30000000</v>
      </c>
      <c r="D3" s="1405" t="s">
        <v>572</v>
      </c>
      <c r="E3" s="1406"/>
      <c r="F3" s="1405" t="s">
        <v>573</v>
      </c>
      <c r="G3" s="1406"/>
      <c r="H3" s="99">
        <v>5882</v>
      </c>
      <c r="I3" s="99" t="s">
        <v>574</v>
      </c>
      <c r="J3" s="99" t="s">
        <v>575</v>
      </c>
      <c r="K3" s="99" t="s">
        <v>576</v>
      </c>
      <c r="L3" s="99" t="s">
        <v>576</v>
      </c>
      <c r="M3" s="99" t="s">
        <v>577</v>
      </c>
      <c r="N3" s="99">
        <v>22219</v>
      </c>
      <c r="O3" s="99" t="s">
        <v>578</v>
      </c>
      <c r="P3" s="99" t="s">
        <v>579</v>
      </c>
      <c r="Q3" s="99" t="s">
        <v>580</v>
      </c>
      <c r="R3" s="99" t="s">
        <v>577</v>
      </c>
      <c r="S3" s="99">
        <v>1909</v>
      </c>
    </row>
    <row r="4" spans="1:19" ht="39.75" customHeight="1">
      <c r="A4" s="64" t="s">
        <v>581</v>
      </c>
      <c r="B4" s="98">
        <v>3</v>
      </c>
      <c r="C4" s="99">
        <v>27000000</v>
      </c>
      <c r="D4" s="1405" t="s">
        <v>572</v>
      </c>
      <c r="E4" s="1406"/>
      <c r="F4" s="1405" t="s">
        <v>573</v>
      </c>
      <c r="G4" s="1406"/>
      <c r="H4" s="99">
        <v>5144</v>
      </c>
      <c r="I4" s="99" t="s">
        <v>574</v>
      </c>
      <c r="J4" s="99" t="s">
        <v>575</v>
      </c>
      <c r="K4" s="99" t="s">
        <v>582</v>
      </c>
      <c r="L4" s="99" t="s">
        <v>576</v>
      </c>
      <c r="M4" s="99" t="s">
        <v>577</v>
      </c>
      <c r="N4" s="99">
        <v>18665</v>
      </c>
      <c r="O4" s="99" t="s">
        <v>578</v>
      </c>
      <c r="P4" s="99" t="s">
        <v>583</v>
      </c>
      <c r="Q4" s="99" t="s">
        <v>584</v>
      </c>
      <c r="R4" s="99" t="s">
        <v>577</v>
      </c>
      <c r="S4" s="99">
        <v>1693</v>
      </c>
    </row>
    <row r="5" spans="1:19" ht="39.75" customHeight="1">
      <c r="A5" s="64" t="s">
        <v>585</v>
      </c>
      <c r="B5" s="98">
        <v>0</v>
      </c>
      <c r="C5" s="99">
        <v>22000000</v>
      </c>
      <c r="D5" s="1405" t="s">
        <v>586</v>
      </c>
      <c r="E5" s="1406"/>
      <c r="F5" s="1405" t="s">
        <v>587</v>
      </c>
      <c r="G5" s="1406"/>
      <c r="H5" s="99">
        <v>3422</v>
      </c>
      <c r="I5" s="99" t="s">
        <v>588</v>
      </c>
      <c r="J5" s="99" t="s">
        <v>576</v>
      </c>
      <c r="K5" s="99" t="s">
        <v>577</v>
      </c>
      <c r="L5" s="99" t="s">
        <v>589</v>
      </c>
      <c r="M5" s="99" t="s">
        <v>577</v>
      </c>
      <c r="N5" s="99">
        <v>10372</v>
      </c>
      <c r="O5" s="99" t="s">
        <v>578</v>
      </c>
      <c r="P5" s="99" t="s">
        <v>590</v>
      </c>
      <c r="Q5" s="99" t="s">
        <v>591</v>
      </c>
      <c r="R5" s="99" t="s">
        <v>592</v>
      </c>
      <c r="S5" s="99">
        <v>1189</v>
      </c>
    </row>
    <row r="6" spans="1:19" ht="39.75" customHeight="1">
      <c r="A6" s="100" t="s">
        <v>459</v>
      </c>
      <c r="B6" s="98">
        <v>3</v>
      </c>
      <c r="C6" s="99">
        <v>32000000</v>
      </c>
      <c r="D6" s="1405" t="s">
        <v>593</v>
      </c>
      <c r="E6" s="1406"/>
      <c r="F6" s="1405" t="s">
        <v>594</v>
      </c>
      <c r="G6" s="1406"/>
      <c r="H6" s="99">
        <v>7116</v>
      </c>
      <c r="I6" s="99" t="s">
        <v>595</v>
      </c>
      <c r="J6" s="99" t="s">
        <v>575</v>
      </c>
      <c r="K6" s="99" t="s">
        <v>582</v>
      </c>
      <c r="L6" s="99" t="s">
        <v>589</v>
      </c>
      <c r="M6" s="99" t="s">
        <v>577</v>
      </c>
      <c r="N6" s="99">
        <v>16248</v>
      </c>
      <c r="O6" s="99" t="s">
        <v>575</v>
      </c>
      <c r="P6" s="99" t="s">
        <v>595</v>
      </c>
      <c r="Q6" s="99" t="s">
        <v>596</v>
      </c>
      <c r="R6" s="99" t="s">
        <v>577</v>
      </c>
      <c r="S6" s="99">
        <v>1956</v>
      </c>
    </row>
    <row r="7" spans="1:19" ht="39.75" customHeight="1">
      <c r="A7" s="100" t="s">
        <v>460</v>
      </c>
      <c r="B7" s="98">
        <v>2</v>
      </c>
      <c r="C7" s="99">
        <v>30000000</v>
      </c>
      <c r="D7" s="1405" t="s">
        <v>597</v>
      </c>
      <c r="E7" s="1406"/>
      <c r="F7" s="1405" t="s">
        <v>598</v>
      </c>
      <c r="G7" s="1406"/>
      <c r="H7" s="99">
        <v>6748</v>
      </c>
      <c r="I7" s="99" t="s">
        <v>599</v>
      </c>
      <c r="J7" s="99" t="s">
        <v>575</v>
      </c>
      <c r="K7" s="99" t="s">
        <v>582</v>
      </c>
      <c r="L7" s="99" t="s">
        <v>582</v>
      </c>
      <c r="M7" s="99" t="s">
        <v>577</v>
      </c>
      <c r="N7" s="99">
        <v>16251</v>
      </c>
      <c r="O7" s="99" t="s">
        <v>575</v>
      </c>
      <c r="P7" s="99" t="s">
        <v>600</v>
      </c>
      <c r="Q7" s="99" t="s">
        <v>600</v>
      </c>
      <c r="R7" s="99" t="s">
        <v>577</v>
      </c>
      <c r="S7" s="99">
        <v>2392</v>
      </c>
    </row>
    <row r="8" spans="1:19" ht="39.75" customHeight="1">
      <c r="A8" s="100" t="s">
        <v>461</v>
      </c>
      <c r="B8" s="98">
        <v>4</v>
      </c>
      <c r="C8" s="99">
        <v>27000000</v>
      </c>
      <c r="D8" s="1405" t="s">
        <v>601</v>
      </c>
      <c r="E8" s="1406"/>
      <c r="F8" s="1405" t="s">
        <v>584</v>
      </c>
      <c r="G8" s="1406"/>
      <c r="H8" s="99">
        <v>5650</v>
      </c>
      <c r="I8" s="99" t="s">
        <v>588</v>
      </c>
      <c r="J8" s="99" t="s">
        <v>575</v>
      </c>
      <c r="K8" s="99" t="s">
        <v>602</v>
      </c>
      <c r="L8" s="99" t="s">
        <v>602</v>
      </c>
      <c r="M8" s="99" t="s">
        <v>577</v>
      </c>
      <c r="N8" s="99">
        <v>11538</v>
      </c>
      <c r="O8" s="99" t="s">
        <v>575</v>
      </c>
      <c r="P8" s="99" t="s">
        <v>588</v>
      </c>
      <c r="Q8" s="99" t="s">
        <v>595</v>
      </c>
      <c r="R8" s="99" t="s">
        <v>592</v>
      </c>
      <c r="S8" s="99">
        <v>1442</v>
      </c>
    </row>
    <row r="9" spans="1:19" ht="39.75" customHeight="1">
      <c r="A9" s="100" t="s">
        <v>462</v>
      </c>
      <c r="B9" s="98">
        <v>2</v>
      </c>
      <c r="C9" s="99">
        <v>22000000</v>
      </c>
      <c r="D9" s="1405"/>
      <c r="E9" s="1406"/>
      <c r="F9" s="1405"/>
      <c r="G9" s="1406"/>
      <c r="H9" s="99">
        <v>4384</v>
      </c>
      <c r="I9" s="99"/>
      <c r="J9" s="99"/>
      <c r="K9" s="99"/>
      <c r="L9" s="99"/>
      <c r="M9" s="99"/>
      <c r="N9" s="99">
        <v>6759</v>
      </c>
      <c r="O9" s="99"/>
      <c r="P9" s="99"/>
      <c r="Q9" s="99"/>
      <c r="R9" s="99"/>
      <c r="S9" s="99">
        <v>1033</v>
      </c>
    </row>
    <row r="10" spans="1:19" ht="39.75" customHeight="1">
      <c r="A10" s="101" t="s">
        <v>531</v>
      </c>
      <c r="B10" s="98">
        <v>4</v>
      </c>
      <c r="C10" s="99">
        <v>32000000</v>
      </c>
      <c r="D10" s="1405" t="s">
        <v>603</v>
      </c>
      <c r="E10" s="1406"/>
      <c r="F10" s="1405" t="s">
        <v>604</v>
      </c>
      <c r="G10" s="1406"/>
      <c r="H10" s="99">
        <v>7137</v>
      </c>
      <c r="I10" s="99" t="s">
        <v>590</v>
      </c>
      <c r="J10" s="99" t="s">
        <v>605</v>
      </c>
      <c r="K10" s="99" t="s">
        <v>576</v>
      </c>
      <c r="L10" s="99" t="s">
        <v>576</v>
      </c>
      <c r="M10" s="99" t="s">
        <v>577</v>
      </c>
      <c r="N10" s="99">
        <v>23454</v>
      </c>
      <c r="O10" s="99" t="s">
        <v>588</v>
      </c>
      <c r="P10" s="99" t="s">
        <v>583</v>
      </c>
      <c r="Q10" s="99" t="s">
        <v>579</v>
      </c>
      <c r="R10" s="99" t="s">
        <v>577</v>
      </c>
      <c r="S10" s="99">
        <v>2258</v>
      </c>
    </row>
    <row r="13" ht="12.75">
      <c r="A13" s="102" t="s">
        <v>606</v>
      </c>
    </row>
  </sheetData>
  <sheetProtection/>
  <mergeCells count="18">
    <mergeCell ref="F2:G2"/>
    <mergeCell ref="D10:E10"/>
    <mergeCell ref="D9:E9"/>
    <mergeCell ref="D8:E8"/>
    <mergeCell ref="D7:E7"/>
    <mergeCell ref="D6:E6"/>
    <mergeCell ref="D5:E5"/>
    <mergeCell ref="D4:E4"/>
    <mergeCell ref="D3:E3"/>
    <mergeCell ref="D2:E2"/>
    <mergeCell ref="F9:G9"/>
    <mergeCell ref="F10:G10"/>
    <mergeCell ref="F3:G3"/>
    <mergeCell ref="F4:G4"/>
    <mergeCell ref="F5:G5"/>
    <mergeCell ref="F6:G6"/>
    <mergeCell ref="F7:G7"/>
    <mergeCell ref="F8:G8"/>
  </mergeCells>
  <hyperlinks>
    <hyperlink ref="B2" r:id="rId1" display="wu"/>
    <hyperlink ref="C2" r:id="rId2" display="http://www.edf.org/papercalculator/index.cfm?action=calculate&amp;mode=individual&amp;#tEC"/>
    <hyperlink ref="D2" r:id="rId3" display="http://www.edf.org/papercalculator/index.cfm?action=calculate&amp;mode=individual&amp;#pEC"/>
    <hyperlink ref="M2" r:id="rId4" display="http://www.edf.org/papercalculator/index.cfm?action=calculate&amp;mode=individual&amp;#trsPRAE"/>
    <hyperlink ref="L2" r:id="rId5" display="http://www.edf.org/papercalculator/index.cfm?action=calculate&amp;mode=individual&amp;#vocPRAE"/>
    <hyperlink ref="K2" r:id="rId6" display="http://www.edf.org/papercalculator/index.cfm?action=calculate&amp;mode=individual&amp;#hapPRAE"/>
    <hyperlink ref="J2" r:id="rId7" display="http://www.edf.org/papercalculator/index.cfm?action=calculate&amp;mode=individual&amp;#pERAE"/>
    <hyperlink ref="I2" r:id="rId8" display="http://www.edf.org/papercalculator/index.cfm?action=calculate&amp;mode=individual&amp;#noERAE"/>
  </hyperlinks>
  <printOptions headings="1"/>
  <pageMargins left="0.4" right="0.49" top="1" bottom="1" header="0.5" footer="0.5"/>
  <pageSetup fitToHeight="1" fitToWidth="1" horizontalDpi="600" verticalDpi="600" orientation="landscape" scale="39" r:id="rId9"/>
</worksheet>
</file>

<file path=xl/worksheets/sheet24.xml><?xml version="1.0" encoding="utf-8"?>
<worksheet xmlns="http://schemas.openxmlformats.org/spreadsheetml/2006/main" xmlns:r="http://schemas.openxmlformats.org/officeDocument/2006/relationships">
  <sheetPr codeName="Sheet19">
    <tabColor theme="0" tint="-0.24997000396251678"/>
    <pageSetUpPr fitToPage="1"/>
  </sheetPr>
  <dimension ref="A1:G61"/>
  <sheetViews>
    <sheetView zoomScalePageLayoutView="0" workbookViewId="0" topLeftCell="A1">
      <selection activeCell="A1" sqref="A1"/>
    </sheetView>
  </sheetViews>
  <sheetFormatPr defaultColWidth="9.140625" defaultRowHeight="12.75"/>
  <cols>
    <col min="1" max="1" width="16.57421875" style="169" customWidth="1"/>
    <col min="2" max="2" width="19.140625" style="169" customWidth="1"/>
    <col min="3" max="3" width="22.00390625" style="169" bestFit="1" customWidth="1"/>
    <col min="4" max="4" width="20.28125" style="169" bestFit="1" customWidth="1"/>
    <col min="5" max="5" width="12.8515625" style="169" bestFit="1" customWidth="1"/>
    <col min="6" max="16384" width="9.140625" style="169" customWidth="1"/>
  </cols>
  <sheetData>
    <row r="1" spans="1:5" ht="12.75">
      <c r="A1" s="298" t="s">
        <v>789</v>
      </c>
      <c r="B1" s="298" t="s">
        <v>788</v>
      </c>
      <c r="C1" s="298" t="s">
        <v>787</v>
      </c>
      <c r="D1" s="298" t="s">
        <v>786</v>
      </c>
      <c r="E1" s="298" t="s">
        <v>785</v>
      </c>
    </row>
    <row r="2" spans="1:7" ht="12.75">
      <c r="A2" s="169" t="s">
        <v>706</v>
      </c>
      <c r="B2" s="169" t="s">
        <v>784</v>
      </c>
      <c r="C2" s="169" t="s">
        <v>783</v>
      </c>
      <c r="D2" s="169" t="s">
        <v>730</v>
      </c>
      <c r="E2" s="169" t="s">
        <v>782</v>
      </c>
      <c r="F2" s="169">
        <v>0.84</v>
      </c>
      <c r="G2" s="169">
        <v>58</v>
      </c>
    </row>
    <row r="3" spans="1:7" ht="12.75">
      <c r="A3" s="169" t="s">
        <v>704</v>
      </c>
      <c r="B3" s="169" t="s">
        <v>704</v>
      </c>
      <c r="C3" s="169" t="s">
        <v>781</v>
      </c>
      <c r="D3" s="169" t="s">
        <v>780</v>
      </c>
      <c r="E3" s="169" t="s">
        <v>734</v>
      </c>
      <c r="F3" s="169">
        <v>0.16</v>
      </c>
      <c r="G3" s="169">
        <v>158</v>
      </c>
    </row>
    <row r="4" spans="1:7" ht="12.75">
      <c r="A4" s="169" t="s">
        <v>521</v>
      </c>
      <c r="B4" s="169" t="s">
        <v>521</v>
      </c>
      <c r="D4" s="169" t="s">
        <v>728</v>
      </c>
      <c r="E4" s="169" t="s">
        <v>713</v>
      </c>
      <c r="F4" s="169">
        <v>0.2</v>
      </c>
      <c r="G4" s="169">
        <v>74</v>
      </c>
    </row>
    <row r="6" spans="1:4" ht="12.75">
      <c r="A6" s="298" t="s">
        <v>779</v>
      </c>
      <c r="B6" s="298" t="s">
        <v>778</v>
      </c>
      <c r="C6" s="298" t="s">
        <v>777</v>
      </c>
      <c r="D6" s="298" t="s">
        <v>776</v>
      </c>
    </row>
    <row r="7" spans="1:4" ht="12.75">
      <c r="A7" s="169" t="s">
        <v>743</v>
      </c>
      <c r="B7" s="169">
        <v>0.32</v>
      </c>
      <c r="C7" s="169">
        <v>1</v>
      </c>
      <c r="D7" s="297">
        <v>0.1</v>
      </c>
    </row>
    <row r="8" spans="1:4" ht="12.75">
      <c r="A8" s="169" t="s">
        <v>765</v>
      </c>
      <c r="B8" s="169">
        <v>0.5</v>
      </c>
      <c r="C8" s="169">
        <v>2</v>
      </c>
      <c r="D8" s="297">
        <v>0.2</v>
      </c>
    </row>
    <row r="9" spans="2:4" ht="12.75">
      <c r="B9" s="169">
        <v>1</v>
      </c>
      <c r="C9" s="169">
        <v>3</v>
      </c>
      <c r="D9" s="297">
        <v>0.3</v>
      </c>
    </row>
    <row r="10" spans="2:4" ht="12.75">
      <c r="B10" s="169">
        <v>2</v>
      </c>
      <c r="C10" s="169">
        <v>4</v>
      </c>
      <c r="D10" s="297">
        <v>0.4</v>
      </c>
    </row>
    <row r="11" spans="2:4" ht="12.75">
      <c r="B11" s="169">
        <v>3</v>
      </c>
      <c r="C11" s="169">
        <v>5</v>
      </c>
      <c r="D11" s="297">
        <v>0.5</v>
      </c>
    </row>
    <row r="12" spans="2:4" ht="12.75">
      <c r="B12" s="169">
        <v>4</v>
      </c>
      <c r="D12" s="297">
        <v>0.6</v>
      </c>
    </row>
    <row r="13" spans="2:4" ht="12.75">
      <c r="B13" s="169">
        <v>6</v>
      </c>
      <c r="D13" s="297">
        <v>0.7</v>
      </c>
    </row>
    <row r="14" spans="2:4" ht="12.75">
      <c r="B14" s="169">
        <v>7</v>
      </c>
      <c r="D14" s="297">
        <v>0.8</v>
      </c>
    </row>
    <row r="15" ht="12.75">
      <c r="D15" s="297">
        <v>0.9</v>
      </c>
    </row>
    <row r="16" ht="12.75">
      <c r="D16" s="297">
        <v>1</v>
      </c>
    </row>
    <row r="18" ht="12.75">
      <c r="A18" s="296">
        <f>'Basic School Info'!B6*VLOOKUP('Basic School Info'!B5,TrayFactors_Paper,2,FALSE)+VLOOKUP('Basic School Info'!B5,TrayFactors_Paper,3,FALSE)</f>
        <v>394</v>
      </c>
    </row>
    <row r="20" ht="15.75">
      <c r="A20" s="342" t="s">
        <v>339</v>
      </c>
    </row>
    <row r="21" ht="15.75">
      <c r="A21" s="342"/>
    </row>
    <row r="22" spans="1:3" ht="12.75">
      <c r="A22" s="169" t="s">
        <v>831</v>
      </c>
      <c r="C22" s="335" t="s">
        <v>830</v>
      </c>
    </row>
    <row r="23" spans="1:3" ht="12.75">
      <c r="A23" s="328">
        <v>40</v>
      </c>
      <c r="C23" s="328"/>
    </row>
    <row r="24" spans="1:3" ht="12.75">
      <c r="A24" s="326">
        <v>60</v>
      </c>
      <c r="C24" s="334" t="s">
        <v>782</v>
      </c>
    </row>
    <row r="25" spans="1:3" ht="12.75">
      <c r="A25" s="326">
        <v>75</v>
      </c>
      <c r="C25" s="334" t="s">
        <v>496</v>
      </c>
    </row>
    <row r="26" spans="1:3" ht="12.75">
      <c r="A26" s="326">
        <v>100</v>
      </c>
      <c r="C26" s="334" t="s">
        <v>497</v>
      </c>
    </row>
    <row r="27" spans="1:3" ht="12.75">
      <c r="A27" s="326">
        <v>150</v>
      </c>
      <c r="C27" s="326"/>
    </row>
    <row r="28" spans="1:3" ht="12.75">
      <c r="A28" s="326"/>
      <c r="C28" s="326"/>
    </row>
    <row r="29" spans="1:3" ht="12.75">
      <c r="A29" s="326"/>
      <c r="C29" s="325"/>
    </row>
    <row r="30" ht="12.75">
      <c r="A30" s="326"/>
    </row>
    <row r="31" ht="12.75">
      <c r="A31" s="325"/>
    </row>
    <row r="33" spans="1:6" ht="12.75">
      <c r="A33" s="169" t="s">
        <v>829</v>
      </c>
      <c r="C33" s="169" t="s">
        <v>828</v>
      </c>
      <c r="E33" s="169" t="s">
        <v>827</v>
      </c>
      <c r="F33" s="169" t="s">
        <v>826</v>
      </c>
    </row>
    <row r="34" spans="1:6" ht="12.75">
      <c r="A34" s="328"/>
      <c r="C34" s="328" t="s">
        <v>825</v>
      </c>
      <c r="E34" s="333" t="s">
        <v>824</v>
      </c>
      <c r="F34" s="328" t="s">
        <v>823</v>
      </c>
    </row>
    <row r="35" spans="1:6" ht="12.75">
      <c r="A35" s="326" t="s">
        <v>822</v>
      </c>
      <c r="C35" s="326" t="s">
        <v>821</v>
      </c>
      <c r="E35" s="332" t="s">
        <v>820</v>
      </c>
      <c r="F35" s="325" t="s">
        <v>819</v>
      </c>
    </row>
    <row r="36" spans="1:5" ht="12.75">
      <c r="A36" s="326" t="s">
        <v>818</v>
      </c>
      <c r="C36" s="326" t="s">
        <v>817</v>
      </c>
      <c r="E36" s="332"/>
    </row>
    <row r="37" spans="1:5" ht="12.75">
      <c r="A37" s="326" t="s">
        <v>816</v>
      </c>
      <c r="C37" s="326" t="s">
        <v>815</v>
      </c>
      <c r="E37" s="331"/>
    </row>
    <row r="38" spans="1:3" ht="12.75">
      <c r="A38" s="326" t="s">
        <v>814</v>
      </c>
      <c r="C38" s="326" t="s">
        <v>813</v>
      </c>
    </row>
    <row r="39" spans="1:3" ht="12.75">
      <c r="A39" s="326" t="s">
        <v>812</v>
      </c>
      <c r="C39" s="326" t="s">
        <v>811</v>
      </c>
    </row>
    <row r="40" ht="12.75">
      <c r="A40" s="326" t="s">
        <v>810</v>
      </c>
    </row>
    <row r="41" spans="1:3" ht="12.75">
      <c r="A41" s="326" t="s">
        <v>809</v>
      </c>
      <c r="C41" s="326"/>
    </row>
    <row r="42" spans="1:3" ht="12.75">
      <c r="A42" s="330" t="s">
        <v>808</v>
      </c>
      <c r="C42" s="326"/>
    </row>
    <row r="43" spans="1:3" ht="12.75">
      <c r="A43" s="329" t="s">
        <v>807</v>
      </c>
      <c r="C43" s="326"/>
    </row>
    <row r="44" spans="1:3" ht="12.75">
      <c r="A44" s="326"/>
      <c r="C44" s="326"/>
    </row>
    <row r="45" spans="1:3" ht="12.75">
      <c r="A45" s="326"/>
      <c r="C45" s="325"/>
    </row>
    <row r="46" ht="12.75">
      <c r="A46" s="326"/>
    </row>
    <row r="47" ht="12.75">
      <c r="A47" s="326"/>
    </row>
    <row r="48" ht="12.75">
      <c r="A48" s="326"/>
    </row>
    <row r="49" ht="12.75">
      <c r="A49" s="326"/>
    </row>
    <row r="50" ht="12.75">
      <c r="A50" s="326"/>
    </row>
    <row r="51" ht="12.75">
      <c r="A51" s="325"/>
    </row>
    <row r="54" spans="1:3" ht="12.75">
      <c r="A54" s="169" t="s">
        <v>806</v>
      </c>
      <c r="B54" s="169" t="s">
        <v>805</v>
      </c>
      <c r="C54" s="169" t="s">
        <v>804</v>
      </c>
    </row>
    <row r="55" spans="1:3" ht="12.75">
      <c r="A55" s="328" t="s">
        <v>803</v>
      </c>
      <c r="B55" s="169" t="s">
        <v>802</v>
      </c>
      <c r="C55" s="328" t="s">
        <v>801</v>
      </c>
    </row>
    <row r="56" spans="1:3" ht="12.75">
      <c r="A56" s="326" t="s">
        <v>800</v>
      </c>
      <c r="B56" s="169" t="s">
        <v>799</v>
      </c>
      <c r="C56" s="326" t="s">
        <v>798</v>
      </c>
    </row>
    <row r="57" spans="1:3" ht="12.75">
      <c r="A57" s="326" t="s">
        <v>797</v>
      </c>
      <c r="B57" s="169" t="s">
        <v>796</v>
      </c>
      <c r="C57" s="326" t="s">
        <v>795</v>
      </c>
    </row>
    <row r="58" spans="1:3" ht="12.75">
      <c r="A58" s="326" t="s">
        <v>794</v>
      </c>
      <c r="B58" s="327"/>
      <c r="C58" s="326" t="s">
        <v>793</v>
      </c>
    </row>
    <row r="59" spans="1:3" ht="12.75">
      <c r="A59" s="326" t="s">
        <v>792</v>
      </c>
      <c r="C59" s="326" t="s">
        <v>791</v>
      </c>
    </row>
    <row r="60" spans="1:3" ht="12.75">
      <c r="A60" s="326"/>
      <c r="C60" s="326"/>
    </row>
    <row r="61" spans="1:3" ht="12.75">
      <c r="A61" s="325"/>
      <c r="C61" s="325"/>
    </row>
  </sheetData>
  <sheetProtection/>
  <printOptions headings="1"/>
  <pageMargins left="0.75" right="0.75" top="1" bottom="1" header="0.5" footer="0.5"/>
  <pageSetup fitToHeight="1" fitToWidth="1" horizontalDpi="600" verticalDpi="600" orientation="landscape" scale="60" r:id="rId1"/>
</worksheet>
</file>

<file path=xl/worksheets/sheet25.xml><?xml version="1.0" encoding="utf-8"?>
<worksheet xmlns="http://schemas.openxmlformats.org/spreadsheetml/2006/main" xmlns:r="http://schemas.openxmlformats.org/officeDocument/2006/relationships">
  <sheetPr codeName="Sheet5">
    <tabColor theme="9" tint="0.39998000860214233"/>
    <pageSetUpPr fitToPage="1"/>
  </sheetPr>
  <dimension ref="A1:E40"/>
  <sheetViews>
    <sheetView zoomScalePageLayoutView="0" workbookViewId="0" topLeftCell="A1">
      <selection activeCell="A1" sqref="A1"/>
    </sheetView>
  </sheetViews>
  <sheetFormatPr defaultColWidth="9.140625" defaultRowHeight="12.75"/>
  <cols>
    <col min="2" max="2" width="86.421875" style="0" customWidth="1"/>
    <col min="5" max="5" width="48.7109375" style="0" customWidth="1"/>
  </cols>
  <sheetData>
    <row r="1" ht="12.75">
      <c r="A1" s="1032"/>
    </row>
    <row r="4" spans="1:3" ht="12.75">
      <c r="A4" t="s">
        <v>1026</v>
      </c>
      <c r="B4" s="167" t="s">
        <v>674</v>
      </c>
      <c r="C4" s="166" t="s">
        <v>675</v>
      </c>
    </row>
    <row r="5" spans="1:4" ht="12.75">
      <c r="A5">
        <v>1</v>
      </c>
      <c r="B5" s="167" t="s">
        <v>1028</v>
      </c>
      <c r="C5" s="168">
        <v>40567</v>
      </c>
      <c r="D5" t="s">
        <v>1025</v>
      </c>
    </row>
    <row r="6" spans="1:4" ht="13.5" customHeight="1">
      <c r="A6">
        <v>2</v>
      </c>
      <c r="B6" s="167" t="s">
        <v>1029</v>
      </c>
      <c r="C6" s="168">
        <v>40567</v>
      </c>
      <c r="D6" t="s">
        <v>1025</v>
      </c>
    </row>
    <row r="7" spans="1:4" ht="12.75">
      <c r="A7">
        <v>3</v>
      </c>
      <c r="B7" s="167" t="s">
        <v>1030</v>
      </c>
      <c r="C7" s="168">
        <v>40567</v>
      </c>
      <c r="D7" t="s">
        <v>1025</v>
      </c>
    </row>
    <row r="8" spans="1:4" ht="12.75">
      <c r="A8">
        <v>4</v>
      </c>
      <c r="B8" s="167" t="s">
        <v>1031</v>
      </c>
      <c r="C8" s="168">
        <v>40567</v>
      </c>
      <c r="D8" t="s">
        <v>1025</v>
      </c>
    </row>
    <row r="9" spans="1:4" ht="14.25" customHeight="1">
      <c r="A9">
        <v>5</v>
      </c>
      <c r="B9" s="167" t="s">
        <v>1032</v>
      </c>
      <c r="C9" s="168">
        <v>40567</v>
      </c>
      <c r="D9" t="s">
        <v>1025</v>
      </c>
    </row>
    <row r="10" spans="1:4" ht="25.5">
      <c r="A10">
        <v>6</v>
      </c>
      <c r="B10" s="167" t="s">
        <v>1033</v>
      </c>
      <c r="C10" s="168">
        <v>40567</v>
      </c>
      <c r="D10" t="s">
        <v>1025</v>
      </c>
    </row>
    <row r="11" spans="1:4" ht="12.75">
      <c r="A11">
        <v>7</v>
      </c>
      <c r="B11" s="167" t="s">
        <v>1009</v>
      </c>
      <c r="C11" s="168">
        <v>40567</v>
      </c>
      <c r="D11" t="s">
        <v>1025</v>
      </c>
    </row>
    <row r="12" spans="1:5" ht="12.75">
      <c r="A12" s="166">
        <v>8</v>
      </c>
      <c r="B12" s="167" t="s">
        <v>1027</v>
      </c>
      <c r="C12" s="1076">
        <v>40571</v>
      </c>
      <c r="D12" s="166" t="s">
        <v>1024</v>
      </c>
      <c r="E12" s="166"/>
    </row>
    <row r="13" spans="1:5" ht="12.75">
      <c r="A13" s="166">
        <v>9</v>
      </c>
      <c r="B13" s="167" t="s">
        <v>1034</v>
      </c>
      <c r="C13" s="1076">
        <v>40571</v>
      </c>
      <c r="D13" s="166" t="s">
        <v>1024</v>
      </c>
      <c r="E13" s="166"/>
    </row>
    <row r="14" spans="1:5" ht="38.25">
      <c r="A14" s="166">
        <v>10</v>
      </c>
      <c r="B14" s="167" t="s">
        <v>1020</v>
      </c>
      <c r="C14" s="1076">
        <v>40572</v>
      </c>
      <c r="D14" s="166" t="s">
        <v>1025</v>
      </c>
      <c r="E14" s="166"/>
    </row>
    <row r="15" spans="1:5" ht="38.25">
      <c r="A15" s="166">
        <v>11</v>
      </c>
      <c r="B15" s="167" t="s">
        <v>1035</v>
      </c>
      <c r="C15" s="1076">
        <v>40572</v>
      </c>
      <c r="D15" s="166" t="s">
        <v>1025</v>
      </c>
      <c r="E15" s="167" t="s">
        <v>918</v>
      </c>
    </row>
    <row r="16" spans="1:5" ht="25.5">
      <c r="A16" s="166">
        <v>12</v>
      </c>
      <c r="B16" s="167" t="s">
        <v>1021</v>
      </c>
      <c r="C16" s="1076">
        <v>40572</v>
      </c>
      <c r="D16" s="166" t="s">
        <v>1025</v>
      </c>
      <c r="E16" s="166"/>
    </row>
    <row r="17" spans="1:5" ht="38.25">
      <c r="A17" s="166">
        <v>13</v>
      </c>
      <c r="B17" s="167" t="s">
        <v>1036</v>
      </c>
      <c r="C17" s="1076">
        <v>40572</v>
      </c>
      <c r="D17" s="166" t="s">
        <v>1025</v>
      </c>
      <c r="E17" s="166"/>
    </row>
    <row r="18" spans="1:5" ht="51">
      <c r="A18" s="166">
        <v>14</v>
      </c>
      <c r="B18" s="167" t="s">
        <v>1038</v>
      </c>
      <c r="C18" s="1076">
        <v>40572</v>
      </c>
      <c r="D18" s="166" t="s">
        <v>1025</v>
      </c>
      <c r="E18" s="166"/>
    </row>
    <row r="19" spans="1:5" ht="25.5">
      <c r="A19" s="166">
        <v>15</v>
      </c>
      <c r="B19" s="167" t="s">
        <v>1037</v>
      </c>
      <c r="C19" s="1076">
        <v>40572</v>
      </c>
      <c r="D19" s="166" t="s">
        <v>1025</v>
      </c>
      <c r="E19" s="166"/>
    </row>
    <row r="20" spans="1:4" ht="13.5" customHeight="1">
      <c r="A20" s="166">
        <v>16</v>
      </c>
      <c r="B20" s="5" t="s">
        <v>921</v>
      </c>
      <c r="C20" s="168">
        <v>40575</v>
      </c>
      <c r="D20" s="166" t="s">
        <v>1025</v>
      </c>
    </row>
    <row r="21" spans="1:4" ht="12.75">
      <c r="A21" s="166">
        <v>17</v>
      </c>
      <c r="B21" s="5" t="s">
        <v>922</v>
      </c>
      <c r="C21" s="168">
        <v>40575</v>
      </c>
      <c r="D21" s="166" t="s">
        <v>1025</v>
      </c>
    </row>
    <row r="22" spans="1:4" ht="12.75">
      <c r="A22" s="166">
        <v>18</v>
      </c>
      <c r="B22" s="5" t="s">
        <v>923</v>
      </c>
      <c r="C22" s="168">
        <v>40575</v>
      </c>
      <c r="D22" s="166" t="s">
        <v>1025</v>
      </c>
    </row>
    <row r="23" spans="1:4" ht="25.5">
      <c r="A23" s="166">
        <v>19</v>
      </c>
      <c r="B23" s="5" t="s">
        <v>924</v>
      </c>
      <c r="C23" s="168">
        <v>40575</v>
      </c>
      <c r="D23" s="166" t="s">
        <v>1025</v>
      </c>
    </row>
    <row r="24" spans="1:4" ht="25.5">
      <c r="A24" s="166">
        <v>20</v>
      </c>
      <c r="B24" s="167" t="s">
        <v>928</v>
      </c>
      <c r="C24" s="168">
        <v>40575</v>
      </c>
      <c r="D24" s="166" t="s">
        <v>1025</v>
      </c>
    </row>
    <row r="25" ht="12.75">
      <c r="B25" s="5"/>
    </row>
    <row r="26" ht="12.75">
      <c r="B26" s="5"/>
    </row>
    <row r="29" ht="15.75">
      <c r="B29" s="1101" t="s">
        <v>926</v>
      </c>
    </row>
    <row r="30" spans="2:4" ht="12.75">
      <c r="B30" s="167" t="s">
        <v>935</v>
      </c>
      <c r="C30" s="168">
        <v>40575</v>
      </c>
      <c r="D30" s="166" t="s">
        <v>1024</v>
      </c>
    </row>
    <row r="31" spans="2:5" ht="38.25">
      <c r="B31" s="167" t="s">
        <v>930</v>
      </c>
      <c r="D31" s="166" t="s">
        <v>1025</v>
      </c>
      <c r="E31" s="1107" t="s">
        <v>936</v>
      </c>
    </row>
    <row r="32" spans="2:5" ht="51">
      <c r="B32" s="167" t="s">
        <v>931</v>
      </c>
      <c r="D32" s="166" t="s">
        <v>1025</v>
      </c>
      <c r="E32" s="1104" t="s">
        <v>949</v>
      </c>
    </row>
    <row r="33" spans="2:5" ht="25.5">
      <c r="B33" s="167" t="s">
        <v>932</v>
      </c>
      <c r="D33" s="166" t="s">
        <v>1025</v>
      </c>
      <c r="E33" s="1107" t="s">
        <v>936</v>
      </c>
    </row>
    <row r="34" spans="2:5" ht="38.25">
      <c r="B34" s="167" t="s">
        <v>933</v>
      </c>
      <c r="D34" s="166" t="s">
        <v>1025</v>
      </c>
      <c r="E34" s="1104" t="s">
        <v>937</v>
      </c>
    </row>
    <row r="35" spans="2:5" ht="63.75">
      <c r="B35" s="167" t="s">
        <v>934</v>
      </c>
      <c r="D35" s="166" t="s">
        <v>1025</v>
      </c>
      <c r="E35" s="1104" t="s">
        <v>942</v>
      </c>
    </row>
    <row r="36" ht="25.5">
      <c r="B36" s="1103" t="s">
        <v>939</v>
      </c>
    </row>
    <row r="37" spans="2:5" ht="12.75">
      <c r="B37" s="1103" t="s">
        <v>943</v>
      </c>
      <c r="C37" s="1105">
        <v>40576</v>
      </c>
      <c r="D37" s="1106" t="s">
        <v>1024</v>
      </c>
      <c r="E37" s="1106" t="s">
        <v>946</v>
      </c>
    </row>
    <row r="38" spans="2:4" ht="25.5">
      <c r="B38" s="1103" t="s">
        <v>944</v>
      </c>
      <c r="D38" s="166" t="s">
        <v>1025</v>
      </c>
    </row>
    <row r="39" spans="2:4" ht="12.75">
      <c r="B39" s="1103" t="s">
        <v>945</v>
      </c>
      <c r="C39" s="168">
        <v>40581</v>
      </c>
      <c r="D39" s="166" t="s">
        <v>1024</v>
      </c>
    </row>
    <row r="40" spans="2:5" ht="25.5">
      <c r="B40" s="1103" t="s">
        <v>947</v>
      </c>
      <c r="C40" s="168">
        <v>40581</v>
      </c>
      <c r="D40" s="166" t="s">
        <v>1024</v>
      </c>
      <c r="E40" s="1107" t="s">
        <v>948</v>
      </c>
    </row>
  </sheetData>
  <sheetProtection/>
  <printOptions headings="1"/>
  <pageMargins left="0.7" right="0.7" top="0.75" bottom="0.75" header="0.3" footer="0.3"/>
  <pageSetup fitToHeight="1" fitToWidth="1" horizontalDpi="600" verticalDpi="600" orientation="landscape" paperSize="3" scale="78" r:id="rId1"/>
</worksheet>
</file>

<file path=xl/worksheets/sheet3.xml><?xml version="1.0" encoding="utf-8"?>
<worksheet xmlns="http://schemas.openxmlformats.org/spreadsheetml/2006/main" xmlns:r="http://schemas.openxmlformats.org/officeDocument/2006/relationships">
  <sheetPr codeName="Sheet14">
    <tabColor theme="3" tint="-0.24997000396251678"/>
    <pageSetUpPr fitToPage="1"/>
  </sheetPr>
  <dimension ref="A1:L247"/>
  <sheetViews>
    <sheetView tabSelected="1" zoomScalePageLayoutView="0" workbookViewId="0" topLeftCell="A12">
      <selection activeCell="E9" sqref="E9"/>
    </sheetView>
  </sheetViews>
  <sheetFormatPr defaultColWidth="9.140625" defaultRowHeight="12.75"/>
  <cols>
    <col min="1" max="1" width="46.00390625" style="172" customWidth="1"/>
    <col min="2" max="3" width="20.140625" style="172" customWidth="1"/>
    <col min="4" max="4" width="20.140625" style="171" customWidth="1"/>
    <col min="5" max="5" width="15.28125" style="169" customWidth="1"/>
    <col min="6" max="6" width="9.140625" style="170" customWidth="1"/>
    <col min="7" max="16384" width="9.140625" style="169" customWidth="1"/>
  </cols>
  <sheetData>
    <row r="1" ht="15.75">
      <c r="A1" s="266" t="s">
        <v>716</v>
      </c>
    </row>
    <row r="2" ht="12.75">
      <c r="A2" s="1071" t="s">
        <v>916</v>
      </c>
    </row>
    <row r="3" spans="1:12" ht="12.75">
      <c r="A3" s="265"/>
      <c r="B3" s="264"/>
      <c r="C3" s="176"/>
      <c r="D3" s="175"/>
      <c r="E3" s="173"/>
      <c r="F3" s="174"/>
      <c r="G3" s="173"/>
      <c r="H3" s="173"/>
      <c r="I3" s="173"/>
      <c r="J3" s="173"/>
      <c r="K3" s="173"/>
      <c r="L3" s="173"/>
    </row>
    <row r="4" spans="1:12" ht="12.75">
      <c r="A4" s="1112" t="s">
        <v>323</v>
      </c>
      <c r="B4" s="263"/>
      <c r="C4" s="257"/>
      <c r="D4" s="262"/>
      <c r="E4" s="1126"/>
      <c r="F4" s="174"/>
      <c r="G4" s="173"/>
      <c r="H4" s="173"/>
      <c r="I4" s="173"/>
      <c r="J4" s="173"/>
      <c r="K4" s="173"/>
      <c r="L4" s="173"/>
    </row>
    <row r="5" spans="1:12" ht="12.75">
      <c r="A5" s="1111" t="s">
        <v>325</v>
      </c>
      <c r="B5" s="263"/>
      <c r="C5" s="257"/>
      <c r="D5" s="262"/>
      <c r="E5" s="261"/>
      <c r="F5" s="174"/>
      <c r="G5" s="173"/>
      <c r="H5" s="173"/>
      <c r="I5" s="173"/>
      <c r="J5" s="173"/>
      <c r="K5" s="173"/>
      <c r="L5" s="173"/>
    </row>
    <row r="6" spans="1:12" ht="12.75">
      <c r="A6" s="265" t="s">
        <v>711</v>
      </c>
      <c r="B6" s="169"/>
      <c r="C6" s="264"/>
      <c r="D6" s="176"/>
      <c r="E6" s="175"/>
      <c r="F6" s="174"/>
      <c r="G6" s="173"/>
      <c r="H6" s="173"/>
      <c r="I6" s="173"/>
      <c r="J6" s="173"/>
      <c r="K6" s="173"/>
      <c r="L6" s="173"/>
    </row>
    <row r="7" spans="1:12" ht="12.75">
      <c r="A7" s="265" t="s">
        <v>710</v>
      </c>
      <c r="B7" s="169"/>
      <c r="C7" s="264"/>
      <c r="D7" s="176"/>
      <c r="E7" s="175"/>
      <c r="F7" s="174"/>
      <c r="G7" s="173"/>
      <c r="H7" s="173"/>
      <c r="I7" s="173"/>
      <c r="J7" s="173"/>
      <c r="K7" s="173"/>
      <c r="L7" s="173"/>
    </row>
    <row r="8" spans="1:12" ht="12.75">
      <c r="A8" s="176"/>
      <c r="B8" s="169"/>
      <c r="C8" s="263"/>
      <c r="D8" s="257" t="s">
        <v>709</v>
      </c>
      <c r="E8" s="262" t="str">
        <f>IF('Basic School Info'!B4="Elementary",Conversions!B134,IF('Basic School Info'!B4="Middle school",Conversions!B135,Conversions!B136))</f>
        <v>y = 0.2x + 74</v>
      </c>
      <c r="F8" s="174"/>
      <c r="G8" s="173"/>
      <c r="H8" s="173"/>
      <c r="I8" s="173"/>
      <c r="J8" s="173"/>
      <c r="K8" s="173"/>
      <c r="L8" s="173"/>
    </row>
    <row r="9" spans="1:12" ht="12.75">
      <c r="A9" s="1110" t="s">
        <v>708</v>
      </c>
      <c r="B9" s="260">
        <v>174</v>
      </c>
      <c r="C9" s="262" t="str">
        <f>IF(B9=Pick_list!A18,"correct!",IF(B9&lt;Pick_list!A18,"too small","too large"))</f>
        <v>too small</v>
      </c>
      <c r="D9" s="258"/>
      <c r="E9" s="173"/>
      <c r="F9" s="174"/>
      <c r="G9" s="173"/>
      <c r="H9" s="173"/>
      <c r="I9" s="173"/>
      <c r="J9" s="173"/>
      <c r="K9" s="173"/>
      <c r="L9" s="173"/>
    </row>
    <row r="10" spans="1:12" ht="12.75">
      <c r="A10" s="257"/>
      <c r="B10" s="176"/>
      <c r="C10" s="176"/>
      <c r="D10" s="223"/>
      <c r="E10" s="173"/>
      <c r="F10" s="174"/>
      <c r="G10" s="173"/>
      <c r="H10" s="173"/>
      <c r="I10" s="173"/>
      <c r="J10" s="173"/>
      <c r="K10" s="173"/>
      <c r="L10" s="173"/>
    </row>
    <row r="11" spans="1:12" ht="12.75">
      <c r="A11" s="256" t="s">
        <v>707</v>
      </c>
      <c r="B11" s="1153" t="s">
        <v>706</v>
      </c>
      <c r="C11" s="176"/>
      <c r="D11" s="175"/>
      <c r="E11" s="173"/>
      <c r="F11" s="174"/>
      <c r="G11" s="173"/>
      <c r="H11" s="173"/>
      <c r="I11" s="173"/>
      <c r="J11" s="173"/>
      <c r="K11" s="173"/>
      <c r="L11" s="173"/>
    </row>
    <row r="12" spans="1:12" ht="25.5">
      <c r="A12" s="255" t="s">
        <v>705</v>
      </c>
      <c r="B12" s="1154" t="s">
        <v>784</v>
      </c>
      <c r="C12" s="176"/>
      <c r="D12" s="175"/>
      <c r="E12" s="173"/>
      <c r="F12" s="174"/>
      <c r="G12" s="173"/>
      <c r="H12" s="173"/>
      <c r="I12" s="173"/>
      <c r="J12" s="173"/>
      <c r="K12" s="173"/>
      <c r="L12" s="173"/>
    </row>
    <row r="13" spans="1:12" ht="12.75">
      <c r="A13" s="176"/>
      <c r="B13" s="176"/>
      <c r="C13" s="176"/>
      <c r="D13" s="175"/>
      <c r="E13" s="173"/>
      <c r="F13" s="174"/>
      <c r="G13" s="173"/>
      <c r="H13" s="173"/>
      <c r="I13" s="173"/>
      <c r="J13" s="173"/>
      <c r="K13" s="173"/>
      <c r="L13" s="173"/>
    </row>
    <row r="14" spans="1:12" ht="12.75">
      <c r="A14" s="254" t="s">
        <v>703</v>
      </c>
      <c r="B14" s="253">
        <f>B9*'Basic School Info'!B8</f>
        <v>30450</v>
      </c>
      <c r="C14" s="1082"/>
      <c r="D14" s="175"/>
      <c r="E14" s="173"/>
      <c r="F14" s="174"/>
      <c r="G14" s="173"/>
      <c r="H14" s="173"/>
      <c r="I14" s="173"/>
      <c r="J14" s="173"/>
      <c r="K14" s="173"/>
      <c r="L14" s="173"/>
    </row>
    <row r="15" spans="1:12" ht="12.75">
      <c r="A15" s="252" t="s">
        <v>702</v>
      </c>
      <c r="B15" s="251">
        <f>$B$14*Conversions!C57/Conversions!B5</f>
        <v>671.3110959236315</v>
      </c>
      <c r="C15" s="250" t="s">
        <v>454</v>
      </c>
      <c r="D15" s="175"/>
      <c r="E15" s="173"/>
      <c r="F15" s="174"/>
      <c r="G15" s="173"/>
      <c r="H15" s="173"/>
      <c r="I15" s="173"/>
      <c r="J15" s="173"/>
      <c r="K15" s="173"/>
      <c r="L15" s="173"/>
    </row>
    <row r="16" spans="1:12" ht="12.75">
      <c r="A16" s="252" t="s">
        <v>701</v>
      </c>
      <c r="B16" s="251">
        <f>B14*Conversions!C61/Conversions!B5</f>
        <v>1954.8900000000003</v>
      </c>
      <c r="C16" s="250" t="s">
        <v>454</v>
      </c>
      <c r="D16" s="175"/>
      <c r="E16" s="173"/>
      <c r="F16" s="265"/>
      <c r="G16" s="264"/>
      <c r="H16" s="176"/>
      <c r="I16" s="175"/>
      <c r="J16" s="173"/>
      <c r="K16" s="173"/>
      <c r="L16" s="173"/>
    </row>
    <row r="17" spans="1:12" ht="12.75">
      <c r="A17" s="252" t="s">
        <v>700</v>
      </c>
      <c r="B17" s="251">
        <f>B14*Conversions!C58/Conversions!B5</f>
        <v>1611.1466302167157</v>
      </c>
      <c r="C17" s="250" t="s">
        <v>454</v>
      </c>
      <c r="D17" s="175"/>
      <c r="E17" s="173"/>
      <c r="F17" s="265"/>
      <c r="G17" s="264"/>
      <c r="H17" s="176"/>
      <c r="I17" s="175"/>
      <c r="J17" s="173"/>
      <c r="K17" s="173"/>
      <c r="L17" s="173"/>
    </row>
    <row r="18" spans="1:12" ht="12.75">
      <c r="A18" s="249" t="s">
        <v>699</v>
      </c>
      <c r="B18" s="248">
        <f>$B$14*Conversions!C65/Conversions!B5</f>
        <v>790.482</v>
      </c>
      <c r="C18" s="247" t="s">
        <v>454</v>
      </c>
      <c r="D18" s="175"/>
      <c r="E18" s="173"/>
      <c r="F18" s="176"/>
      <c r="G18" s="263"/>
      <c r="H18" s="257"/>
      <c r="I18" s="283"/>
      <c r="J18" s="173"/>
      <c r="K18" s="173"/>
      <c r="L18" s="173"/>
    </row>
    <row r="19" spans="1:12" ht="12.75">
      <c r="A19" s="176"/>
      <c r="B19" s="176"/>
      <c r="C19" s="176"/>
      <c r="D19" s="173"/>
      <c r="E19" s="175"/>
      <c r="F19" s="174"/>
      <c r="G19" s="173"/>
      <c r="H19" s="173"/>
      <c r="I19" s="173"/>
      <c r="J19" s="173"/>
      <c r="K19" s="173"/>
      <c r="L19" s="173"/>
    </row>
    <row r="20" spans="1:12" ht="12.75">
      <c r="A20" s="183" t="s">
        <v>698</v>
      </c>
      <c r="B20" s="176"/>
      <c r="C20" s="176"/>
      <c r="D20" s="173"/>
      <c r="E20" s="175"/>
      <c r="F20" s="174"/>
      <c r="G20" s="173"/>
      <c r="H20" s="173"/>
      <c r="I20" s="173"/>
      <c r="J20" s="173"/>
      <c r="K20" s="173"/>
      <c r="L20" s="173"/>
    </row>
    <row r="21" spans="1:12" ht="12.75">
      <c r="A21" s="246"/>
      <c r="B21" s="245" t="s">
        <v>493</v>
      </c>
      <c r="C21" s="245" t="s">
        <v>692</v>
      </c>
      <c r="D21" s="244" t="s">
        <v>494</v>
      </c>
      <c r="E21" s="173"/>
      <c r="F21" s="174"/>
      <c r="G21" s="173"/>
      <c r="H21" s="173"/>
      <c r="I21" s="173"/>
      <c r="J21" s="173"/>
      <c r="K21" s="173"/>
      <c r="L21" s="173"/>
    </row>
    <row r="22" spans="1:12" ht="12.75">
      <c r="A22" s="234" t="s">
        <v>697</v>
      </c>
      <c r="B22" s="233">
        <f>$B$15*Conversions!B17</f>
        <v>8535.379682658431</v>
      </c>
      <c r="C22" s="233">
        <f>$B$15*Conversions!C17</f>
        <v>11633.722507463443</v>
      </c>
      <c r="D22" s="232">
        <f>$B$15*Conversions!D17</f>
        <v>13158.184820281705</v>
      </c>
      <c r="E22" s="173"/>
      <c r="F22" s="174"/>
      <c r="G22" s="173"/>
      <c r="H22" s="173"/>
      <c r="I22" s="173"/>
      <c r="J22" s="173"/>
      <c r="K22" s="173"/>
      <c r="L22" s="173"/>
    </row>
    <row r="23" spans="1:12" ht="12.75">
      <c r="A23" s="243" t="s">
        <v>696</v>
      </c>
      <c r="B23" s="242">
        <f>$B$16*Conversions!B37</f>
        <v>9166.321835711984</v>
      </c>
      <c r="C23" s="242">
        <f>$B$16*Conversions!C37</f>
        <v>6955.498620000001</v>
      </c>
      <c r="D23" s="241">
        <f>$B$16*Conversions!D37</f>
        <v>15881.526360000003</v>
      </c>
      <c r="E23" s="173"/>
      <c r="F23" s="174"/>
      <c r="G23" s="173"/>
      <c r="H23" s="173"/>
      <c r="I23" s="173"/>
      <c r="J23" s="173"/>
      <c r="K23" s="173"/>
      <c r="L23" s="173"/>
    </row>
    <row r="24" spans="1:12" ht="12.75">
      <c r="A24" s="243" t="s">
        <v>695</v>
      </c>
      <c r="B24" s="242">
        <f>$B$17*Conversions!B14</f>
        <v>3657.3028505919447</v>
      </c>
      <c r="C24" s="242">
        <f>$B$17*Conversions!C14</f>
        <v>4984.903785356821</v>
      </c>
      <c r="D24" s="241">
        <f>$B$17*Conversions!D14</f>
        <v>8748.526202076768</v>
      </c>
      <c r="E24" s="173"/>
      <c r="F24" s="174"/>
      <c r="G24" s="173"/>
      <c r="H24" s="173"/>
      <c r="I24" s="173"/>
      <c r="J24" s="173"/>
      <c r="K24" s="173"/>
      <c r="L24" s="173"/>
    </row>
    <row r="25" spans="1:12" ht="12.75">
      <c r="A25" s="231" t="s">
        <v>694</v>
      </c>
      <c r="B25" s="240">
        <f>$B$18*Conversions!B38</f>
        <v>3474.8498080473582</v>
      </c>
      <c r="C25" s="240">
        <f>$B$18*Conversions!C38</f>
        <v>2667.086268</v>
      </c>
      <c r="D25" s="239">
        <f>$B$18*Conversions!D38</f>
        <v>6423.061491</v>
      </c>
      <c r="E25" s="173"/>
      <c r="F25" s="174"/>
      <c r="G25" s="173"/>
      <c r="H25" s="173"/>
      <c r="I25" s="173"/>
      <c r="J25" s="173"/>
      <c r="K25" s="173"/>
      <c r="L25" s="173"/>
    </row>
    <row r="26" spans="1:12" ht="25.5">
      <c r="A26" s="238" t="s">
        <v>693</v>
      </c>
      <c r="B26" s="237" t="str">
        <f>$B$11</f>
        <v>Foam Tray</v>
      </c>
      <c r="C26" s="236" t="s">
        <v>682</v>
      </c>
      <c r="D26" s="235" t="str">
        <f>B12</f>
        <v>Paper Boat</v>
      </c>
      <c r="E26" s="212"/>
      <c r="F26" s="174"/>
      <c r="G26" s="173"/>
      <c r="H26" s="173"/>
      <c r="I26" s="173"/>
      <c r="J26" s="173"/>
      <c r="K26" s="173"/>
      <c r="L26" s="173"/>
    </row>
    <row r="27" spans="1:12" ht="12.75">
      <c r="A27" s="234"/>
      <c r="B27" s="233" t="s">
        <v>493</v>
      </c>
      <c r="C27" s="233" t="s">
        <v>692</v>
      </c>
      <c r="D27" s="232" t="s">
        <v>494</v>
      </c>
      <c r="E27" s="173"/>
      <c r="F27" s="174"/>
      <c r="G27" s="173"/>
      <c r="H27" s="173"/>
      <c r="I27" s="173"/>
      <c r="J27" s="173"/>
      <c r="K27" s="173"/>
      <c r="L27" s="173"/>
    </row>
    <row r="28" spans="1:12" ht="12.75">
      <c r="A28" s="231"/>
      <c r="B28" s="230">
        <f>IF(AND($B$26="Paper Tray",$D$26="Bagasse Tray"),B23-B24,IF(AND($B$26="Paper Tray",$D$26="Paper Boat"),B23-B25,IF(AND($B$26="Foam Tray",$D$26="Paper Tray"),B22-B23,IF(AND($B$26="Foam Tray",$D$26="Bagasse Tray"),B22-B24,IF(AND($B$26="Foam Tray",$D$26="Paper Boat"),B22-B25,IF(AND($B$26="Bagasse Tray",$D$26="Paper Tray"),B24-B23,IF(AND($B$26="Bagasse Tray",$D$26="Paper Boat"),B24-B25,"no change")))))))</f>
        <v>5060.529874611073</v>
      </c>
      <c r="C28" s="230">
        <f>IF(AND($B$26="Paper Tray",$D$26="Bagasse Tray"),C23-C24,IF(AND($B$26="Paper Tray",$D$26="Paper Boat"),C23-C25,IF(AND($B$26="Foam Tray",$D$26="Paper Tray"),C22-C23,IF(AND($B$26="Foam Tray",$D$26="Bagasse Tray"),C22-C24,IF(AND($B$26="Foam Tray",$D$26="Paper Boat"),C22-C25,IF(AND($B$26="Bagasse Tray",$D$26="Paper Tray"),C24-C23,IF(AND($B$26="Bagasse Tray",$D$26="Paper Boat"),C24-C25,"no change")))))))</f>
        <v>8966.636239463442</v>
      </c>
      <c r="D28" s="229">
        <f>IF(AND($B$26="Paper Tray",$D$26="Bagasse Tray"),D23-D24,IF(AND($B$26="Paper Tray",$D$26="Paper Boat"),D23-D25,IF(AND($B$26="Foam Tray",$D$26="Paper Tray"),D22-D23,IF(AND($B$26="Foam Tray",$D$26="Bagasse Tray"),D22-D24,IF(AND($B$26="Foam Tray",$D$26="Paper Boat"),D22-D25,IF(AND($B$26="Bagasse Tray",$D$26="Paper Tray"),D24-D23,IF(AND($B$26="Bagasse Tray",$D$26="Paper Boat"),D24-D25,"no change")))))))</f>
        <v>6735.123329281705</v>
      </c>
      <c r="E28" s="212"/>
      <c r="F28" s="174"/>
      <c r="G28" s="173"/>
      <c r="H28" s="173"/>
      <c r="I28" s="173"/>
      <c r="J28" s="173"/>
      <c r="K28" s="173"/>
      <c r="L28" s="173"/>
    </row>
    <row r="29" spans="1:12" ht="12.75">
      <c r="A29" s="176"/>
      <c r="B29" s="176"/>
      <c r="C29" s="176"/>
      <c r="D29" s="175"/>
      <c r="E29" s="173"/>
      <c r="F29" s="174"/>
      <c r="G29" s="212"/>
      <c r="H29" s="173"/>
      <c r="I29" s="173"/>
      <c r="J29" s="173"/>
      <c r="K29" s="173"/>
      <c r="L29" s="173"/>
    </row>
    <row r="30" spans="1:12" ht="12.75">
      <c r="A30" s="183" t="s">
        <v>691</v>
      </c>
      <c r="B30" s="176"/>
      <c r="C30" s="176"/>
      <c r="D30" s="175"/>
      <c r="E30" s="173"/>
      <c r="F30" s="174"/>
      <c r="G30" s="173"/>
      <c r="H30" s="173"/>
      <c r="I30" s="173"/>
      <c r="J30" s="173"/>
      <c r="K30" s="173"/>
      <c r="L30" s="173"/>
    </row>
    <row r="31" spans="1:12" ht="25.5">
      <c r="A31" s="228"/>
      <c r="B31" s="227"/>
      <c r="C31" s="226" t="s">
        <v>690</v>
      </c>
      <c r="D31" s="225"/>
      <c r="E31" s="173"/>
      <c r="F31" s="174"/>
      <c r="G31" s="173"/>
      <c r="H31" s="173"/>
      <c r="I31" s="173"/>
      <c r="J31" s="173"/>
      <c r="K31" s="173"/>
      <c r="L31" s="173"/>
    </row>
    <row r="32" spans="1:12" ht="12.75">
      <c r="A32" s="211" t="s">
        <v>689</v>
      </c>
      <c r="B32" s="210"/>
      <c r="C32" s="210">
        <f>B15*Conversions!D48</f>
        <v>31.8107475914372</v>
      </c>
      <c r="D32" s="224"/>
      <c r="E32" s="223"/>
      <c r="F32" s="174"/>
      <c r="G32" s="173"/>
      <c r="H32" s="173"/>
      <c r="I32" s="173"/>
      <c r="J32" s="173"/>
      <c r="K32" s="173"/>
      <c r="L32" s="173"/>
    </row>
    <row r="33" spans="1:12" ht="12.75">
      <c r="A33" s="219" t="s">
        <v>688</v>
      </c>
      <c r="B33" s="221"/>
      <c r="C33" s="221">
        <f>B16*Conversions!D50</f>
        <v>-417.93202332000016</v>
      </c>
      <c r="D33" s="222"/>
      <c r="E33" s="173"/>
      <c r="F33" s="174"/>
      <c r="G33" s="173"/>
      <c r="H33" s="173"/>
      <c r="I33" s="173"/>
      <c r="J33" s="173"/>
      <c r="K33" s="173"/>
      <c r="L33" s="173"/>
    </row>
    <row r="34" spans="1:12" ht="12.75">
      <c r="A34" s="219" t="s">
        <v>687</v>
      </c>
      <c r="B34" s="221"/>
      <c r="C34" s="221">
        <f>B16*Conversions!D50</f>
        <v>-417.93202332000016</v>
      </c>
      <c r="D34" s="220"/>
      <c r="E34" s="175"/>
      <c r="F34" s="174"/>
      <c r="G34" s="173"/>
      <c r="H34" s="173"/>
      <c r="I34" s="173"/>
      <c r="J34" s="173"/>
      <c r="K34" s="173"/>
      <c r="L34" s="173"/>
    </row>
    <row r="35" spans="1:12" ht="12.75">
      <c r="A35" s="219" t="s">
        <v>686</v>
      </c>
      <c r="B35" s="218"/>
      <c r="C35" s="218">
        <f>B18*Conversions!D50</f>
        <v>-168.995565816</v>
      </c>
      <c r="D35" s="217"/>
      <c r="E35" s="173"/>
      <c r="F35" s="174"/>
      <c r="G35" s="173"/>
      <c r="H35" s="173"/>
      <c r="I35" s="173"/>
      <c r="J35" s="173"/>
      <c r="K35" s="173"/>
      <c r="L35" s="173"/>
    </row>
    <row r="36" spans="1:12" ht="25.5">
      <c r="A36" s="216" t="s">
        <v>685</v>
      </c>
      <c r="B36" s="215" t="str">
        <f>$B$11</f>
        <v>Foam Tray</v>
      </c>
      <c r="C36" s="214" t="s">
        <v>682</v>
      </c>
      <c r="D36" s="213" t="str">
        <f>B12</f>
        <v>Paper Boat</v>
      </c>
      <c r="E36" s="212"/>
      <c r="F36" s="174"/>
      <c r="G36" s="173"/>
      <c r="H36" s="173"/>
      <c r="I36" s="173"/>
      <c r="J36" s="173"/>
      <c r="K36" s="173"/>
      <c r="L36" s="173"/>
    </row>
    <row r="37" spans="1:12" ht="12.75">
      <c r="A37" s="211"/>
      <c r="B37" s="210"/>
      <c r="C37" s="210" t="s">
        <v>456</v>
      </c>
      <c r="D37" s="209"/>
      <c r="E37" s="173"/>
      <c r="F37" s="174"/>
      <c r="G37" s="173"/>
      <c r="H37" s="173"/>
      <c r="I37" s="173"/>
      <c r="J37" s="173"/>
      <c r="K37" s="173"/>
      <c r="L37" s="173"/>
    </row>
    <row r="38" spans="1:12" ht="12.75">
      <c r="A38" s="208"/>
      <c r="B38" s="207"/>
      <c r="C38" s="206">
        <f>IF(AND($B$11="Paper Tray",$D$26="Bagasse Tray"),C33-C34,IF(AND($B$11="Paper Tray",$D$26="Paper Boat"),C33-C35,IF(AND($B$11="Foam Tray",$D$26="Paper Tray"),C32-C33,IF(AND($B$11="Foam Tray",$D$26="Bagasse Tray"),C32-C34,IF(AND($B$11="Foam Tray",$D$26="Paper Boat"),C32-C35,IF(AND($B$11="Bagasse Tray",$D$26="Paper Tray"),C34-C33,IF(AND($B$11="Bagasse Tray",$D$26="Paper Boat"),C34-C35,"no change")))))))</f>
        <v>200.80631340743722</v>
      </c>
      <c r="D38" s="205"/>
      <c r="E38" s="199"/>
      <c r="F38" s="174"/>
      <c r="G38" s="173"/>
      <c r="H38" s="173"/>
      <c r="I38" s="173"/>
      <c r="J38" s="173"/>
      <c r="K38" s="173"/>
      <c r="L38" s="173"/>
    </row>
    <row r="39" spans="1:12" ht="12.75">
      <c r="A39" s="176"/>
      <c r="B39" s="176"/>
      <c r="C39" s="176"/>
      <c r="D39" s="180"/>
      <c r="E39" s="185"/>
      <c r="F39" s="204"/>
      <c r="G39" s="173"/>
      <c r="H39" s="173"/>
      <c r="I39" s="173"/>
      <c r="J39" s="173"/>
      <c r="K39" s="173"/>
      <c r="L39" s="173"/>
    </row>
    <row r="40" spans="1:12" ht="12.75">
      <c r="A40" s="183" t="s">
        <v>684</v>
      </c>
      <c r="B40" s="176"/>
      <c r="C40" s="176"/>
      <c r="D40" s="180"/>
      <c r="E40" s="173"/>
      <c r="F40" s="174"/>
      <c r="G40" s="173"/>
      <c r="H40" s="173"/>
      <c r="I40" s="173"/>
      <c r="J40" s="173"/>
      <c r="K40" s="173"/>
      <c r="L40" s="173"/>
    </row>
    <row r="41" spans="1:12" ht="12.75">
      <c r="A41" s="203" t="s">
        <v>683</v>
      </c>
      <c r="B41" s="202" t="str">
        <f>$B$11</f>
        <v>Foam Tray</v>
      </c>
      <c r="C41" s="201" t="s">
        <v>682</v>
      </c>
      <c r="D41" s="200" t="str">
        <f>B12</f>
        <v>Paper Boat</v>
      </c>
      <c r="E41" s="199"/>
      <c r="F41" s="174"/>
      <c r="G41" s="173"/>
      <c r="H41" s="173"/>
      <c r="I41" s="173"/>
      <c r="J41" s="173"/>
      <c r="K41" s="173"/>
      <c r="L41" s="173"/>
    </row>
    <row r="42" spans="1:12" ht="12.75">
      <c r="A42" s="198"/>
      <c r="B42" s="197" t="s">
        <v>493</v>
      </c>
      <c r="C42" s="196" t="s">
        <v>456</v>
      </c>
      <c r="D42" s="195" t="s">
        <v>494</v>
      </c>
      <c r="E42" s="173"/>
      <c r="F42" s="184"/>
      <c r="G42" s="173"/>
      <c r="H42" s="173"/>
      <c r="I42" s="173"/>
      <c r="J42" s="173"/>
      <c r="K42" s="173"/>
      <c r="L42" s="173"/>
    </row>
    <row r="43" spans="1:12" ht="12.75">
      <c r="A43" s="194" t="s">
        <v>681</v>
      </c>
      <c r="B43" s="193">
        <f>B28</f>
        <v>5060.529874611073</v>
      </c>
      <c r="C43" s="193">
        <f>C28+C38</f>
        <v>9167.442552870878</v>
      </c>
      <c r="D43" s="192">
        <f>D28</f>
        <v>6735.123329281705</v>
      </c>
      <c r="E43" s="173"/>
      <c r="F43" s="174"/>
      <c r="G43" s="173"/>
      <c r="H43" s="173"/>
      <c r="I43" s="173"/>
      <c r="J43" s="173"/>
      <c r="K43" s="173"/>
      <c r="L43" s="173"/>
    </row>
    <row r="44" spans="1:12" ht="12.75">
      <c r="A44" s="176"/>
      <c r="B44" s="176"/>
      <c r="C44" s="176"/>
      <c r="D44" s="175"/>
      <c r="E44" s="173"/>
      <c r="F44" s="174"/>
      <c r="G44" s="173"/>
      <c r="H44" s="173"/>
      <c r="I44" s="173"/>
      <c r="J44" s="173"/>
      <c r="K44" s="173"/>
      <c r="L44" s="173"/>
    </row>
    <row r="45" spans="1:12" ht="12.75">
      <c r="A45" s="183" t="s">
        <v>680</v>
      </c>
      <c r="B45" s="176"/>
      <c r="C45" s="176"/>
      <c r="D45" s="175"/>
      <c r="E45" s="173"/>
      <c r="F45" s="174"/>
      <c r="G45" s="173"/>
      <c r="H45" s="173"/>
      <c r="I45" s="173"/>
      <c r="J45" s="173"/>
      <c r="K45" s="173"/>
      <c r="L45" s="173"/>
    </row>
    <row r="46" spans="1:12" ht="12.75">
      <c r="A46" s="191" t="str">
        <f>B11</f>
        <v>Foam Tray</v>
      </c>
      <c r="B46" s="190">
        <f>IF($A$46="Paper Tray",$B$14*Conversions!$B$61,IF($A$46="Bagasse Tray",$B$14*Conversions!$B$58,IF($A$46="Foam Tray",$B$14*Conversions!$B$57)))</f>
        <v>1035.3000000000002</v>
      </c>
      <c r="C46" s="176"/>
      <c r="D46" s="175"/>
      <c r="E46" s="173"/>
      <c r="F46" s="174"/>
      <c r="G46" s="173"/>
      <c r="H46" s="173"/>
      <c r="I46" s="173"/>
      <c r="J46" s="173"/>
      <c r="K46" s="173"/>
      <c r="L46" s="173"/>
    </row>
    <row r="47" spans="1:12" ht="12.75">
      <c r="A47" s="189" t="str">
        <f>B12</f>
        <v>Paper Boat</v>
      </c>
      <c r="B47" s="188">
        <f>IF($A$47="Paper Tray",$B$14*Conversions!$B$61,IF($A$47="Bagasse Tray",$B$14*Conversions!$B$58,IF($A$47="Foam Tray",$B$14*Conversions!$B$57,IF($A$47="Paper Boat",$B$14*Conversions!$B$65))))</f>
        <v>688.779</v>
      </c>
      <c r="C47" s="176"/>
      <c r="D47" s="175"/>
      <c r="E47" s="173"/>
      <c r="F47" s="174"/>
      <c r="G47" s="180"/>
      <c r="H47" s="185"/>
      <c r="I47" s="184"/>
      <c r="J47" s="173"/>
      <c r="K47" s="173"/>
      <c r="L47" s="173"/>
    </row>
    <row r="48" spans="1:12" ht="27.75" customHeight="1">
      <c r="A48" s="187" t="s">
        <v>453</v>
      </c>
      <c r="B48" s="1083">
        <f>B47-B46</f>
        <v>-346.5210000000002</v>
      </c>
      <c r="C48" s="186" t="str">
        <f>IF(B48&gt;0,"Additional Cost","Savings")</f>
        <v>Savings</v>
      </c>
      <c r="D48" s="931" t="s">
        <v>324</v>
      </c>
      <c r="E48" s="263"/>
      <c r="F48" s="174"/>
      <c r="G48" s="180"/>
      <c r="H48" s="185"/>
      <c r="I48" s="184"/>
      <c r="J48" s="173"/>
      <c r="K48" s="173"/>
      <c r="L48" s="173"/>
    </row>
    <row r="49" spans="1:12" ht="12.75">
      <c r="A49" s="176"/>
      <c r="B49" s="176"/>
      <c r="C49" s="176"/>
      <c r="D49" s="175"/>
      <c r="E49" s="173"/>
      <c r="F49" s="174"/>
      <c r="G49" s="173"/>
      <c r="H49" s="173"/>
      <c r="I49" s="173"/>
      <c r="J49" s="173"/>
      <c r="K49" s="173"/>
      <c r="L49" s="173"/>
    </row>
    <row r="50" spans="1:12" ht="12.75">
      <c r="A50" s="183" t="s">
        <v>679</v>
      </c>
      <c r="B50" s="176"/>
      <c r="C50" s="176"/>
      <c r="D50" s="182"/>
      <c r="E50" s="173"/>
      <c r="F50" s="174"/>
      <c r="G50" s="173"/>
      <c r="H50" s="173"/>
      <c r="I50" s="173"/>
      <c r="J50" s="173"/>
      <c r="K50" s="173"/>
      <c r="L50" s="173"/>
    </row>
    <row r="51" spans="1:12" ht="12.75">
      <c r="A51" s="176" t="s">
        <v>678</v>
      </c>
      <c r="B51" s="176">
        <f>(12.6*11*17.7)*3</f>
        <v>7359.66</v>
      </c>
      <c r="C51" s="176" t="s">
        <v>677</v>
      </c>
      <c r="D51" s="175"/>
      <c r="E51" s="173"/>
      <c r="F51" s="174"/>
      <c r="G51" s="173"/>
      <c r="H51" s="173"/>
      <c r="I51" s="173"/>
      <c r="J51" s="173"/>
      <c r="K51" s="173"/>
      <c r="L51" s="173"/>
    </row>
    <row r="52" spans="1:12" ht="12.75">
      <c r="A52" s="176"/>
      <c r="B52" s="181">
        <f>B51/(12*12*12)/(3*3*3)</f>
        <v>0.15774305555555554</v>
      </c>
      <c r="C52" s="176" t="s">
        <v>676</v>
      </c>
      <c r="D52" s="175"/>
      <c r="E52" s="173"/>
      <c r="F52" s="174"/>
      <c r="G52" s="173"/>
      <c r="H52" s="173"/>
      <c r="I52" s="173"/>
      <c r="J52" s="173"/>
      <c r="K52" s="173"/>
      <c r="L52" s="173"/>
    </row>
    <row r="53" spans="1:12" ht="12.75">
      <c r="A53" s="180" t="str">
        <f>CONCATENATE($B$14," Annual Trays Used")</f>
        <v>30450 Annual Trays Used</v>
      </c>
      <c r="B53" s="176">
        <f>B14/500*B52</f>
        <v>9.606552083333332</v>
      </c>
      <c r="C53" s="176" t="s">
        <v>676</v>
      </c>
      <c r="D53" s="175"/>
      <c r="E53" s="173"/>
      <c r="F53" s="174"/>
      <c r="G53" s="173"/>
      <c r="H53" s="173"/>
      <c r="I53" s="173"/>
      <c r="J53" s="173"/>
      <c r="K53" s="173"/>
      <c r="L53" s="173"/>
    </row>
    <row r="54" spans="1:12" ht="25.5">
      <c r="A54" s="179" t="str">
        <f>CONCATENATE(B14," Annual Trays is equivalent to approximately (cubic yard/ wk of service):")</f>
        <v>30450 Annual Trays is equivalent to approximately (cubic yard/ wk of service):</v>
      </c>
      <c r="B54" s="178">
        <f>B53/38</f>
        <v>0.25280400219298244</v>
      </c>
      <c r="C54" s="173"/>
      <c r="D54" s="175"/>
      <c r="E54" s="173"/>
      <c r="F54" s="174"/>
      <c r="G54" s="173"/>
      <c r="H54" s="173"/>
      <c r="I54" s="173"/>
      <c r="J54" s="173"/>
      <c r="K54" s="173"/>
      <c r="L54" s="173"/>
    </row>
    <row r="55" spans="1:12" ht="12.75">
      <c r="A55" s="176"/>
      <c r="B55" s="177"/>
      <c r="C55" s="176"/>
      <c r="D55" s="175"/>
      <c r="E55" s="173"/>
      <c r="F55" s="174"/>
      <c r="G55" s="173"/>
      <c r="H55" s="173"/>
      <c r="I55" s="173"/>
      <c r="J55" s="173"/>
      <c r="K55" s="173"/>
      <c r="L55" s="173"/>
    </row>
    <row r="56" spans="1:12" ht="12.75">
      <c r="A56" s="176"/>
      <c r="B56" s="176"/>
      <c r="C56" s="176"/>
      <c r="D56" s="175"/>
      <c r="E56" s="173"/>
      <c r="F56" s="174"/>
      <c r="G56" s="173"/>
      <c r="H56" s="173"/>
      <c r="I56" s="173"/>
      <c r="J56" s="173"/>
      <c r="K56" s="173"/>
      <c r="L56" s="173"/>
    </row>
    <row r="57" spans="1:12" ht="12.75">
      <c r="A57" s="176"/>
      <c r="B57" s="176"/>
      <c r="C57" s="176"/>
      <c r="D57" s="175"/>
      <c r="E57" s="173"/>
      <c r="F57" s="174"/>
      <c r="G57" s="173"/>
      <c r="H57" s="173"/>
      <c r="I57" s="173"/>
      <c r="J57" s="173"/>
      <c r="K57" s="173"/>
      <c r="L57" s="173"/>
    </row>
    <row r="58" spans="1:12" ht="12.75">
      <c r="A58" s="176"/>
      <c r="B58" s="176"/>
      <c r="C58" s="176"/>
      <c r="D58" s="175"/>
      <c r="E58" s="173"/>
      <c r="F58" s="174"/>
      <c r="G58" s="173"/>
      <c r="H58" s="173"/>
      <c r="I58" s="173"/>
      <c r="J58" s="173"/>
      <c r="K58" s="173"/>
      <c r="L58" s="173"/>
    </row>
    <row r="59" spans="1:12" ht="12.75">
      <c r="A59" s="176"/>
      <c r="B59" s="176"/>
      <c r="C59" s="176"/>
      <c r="D59" s="175"/>
      <c r="E59" s="173"/>
      <c r="F59" s="174"/>
      <c r="G59" s="173"/>
      <c r="H59" s="173"/>
      <c r="I59" s="173"/>
      <c r="J59" s="173"/>
      <c r="K59" s="173"/>
      <c r="L59" s="173"/>
    </row>
    <row r="60" spans="1:12" ht="12.75">
      <c r="A60" s="176"/>
      <c r="B60" s="176"/>
      <c r="C60" s="176"/>
      <c r="D60" s="175"/>
      <c r="E60" s="173"/>
      <c r="F60" s="174"/>
      <c r="G60" s="173"/>
      <c r="H60" s="173"/>
      <c r="I60" s="173"/>
      <c r="J60" s="173"/>
      <c r="K60" s="173"/>
      <c r="L60" s="173"/>
    </row>
    <row r="61" spans="1:12" ht="12.75">
      <c r="A61" s="176"/>
      <c r="B61" s="176"/>
      <c r="C61" s="176"/>
      <c r="D61" s="175"/>
      <c r="E61" s="173"/>
      <c r="F61" s="174"/>
      <c r="G61" s="173"/>
      <c r="H61" s="173"/>
      <c r="I61" s="173"/>
      <c r="J61" s="173"/>
      <c r="K61" s="173"/>
      <c r="L61" s="173"/>
    </row>
    <row r="62" spans="1:12" ht="12.75">
      <c r="A62" s="176"/>
      <c r="B62" s="176"/>
      <c r="C62" s="176"/>
      <c r="D62" s="175"/>
      <c r="E62" s="173"/>
      <c r="F62" s="174"/>
      <c r="G62" s="173"/>
      <c r="H62" s="173"/>
      <c r="I62" s="173"/>
      <c r="J62" s="173"/>
      <c r="K62" s="173"/>
      <c r="L62" s="173"/>
    </row>
    <row r="63" spans="1:12" ht="12.75">
      <c r="A63" s="176"/>
      <c r="B63" s="176"/>
      <c r="C63" s="176"/>
      <c r="D63" s="175"/>
      <c r="E63" s="173"/>
      <c r="F63" s="174"/>
      <c r="G63" s="173"/>
      <c r="H63" s="173"/>
      <c r="I63" s="173"/>
      <c r="J63" s="173"/>
      <c r="K63" s="173"/>
      <c r="L63" s="173"/>
    </row>
    <row r="64" spans="1:12" ht="12.75">
      <c r="A64" s="176"/>
      <c r="B64" s="176"/>
      <c r="C64" s="176"/>
      <c r="D64" s="175"/>
      <c r="E64" s="173"/>
      <c r="F64" s="174"/>
      <c r="G64" s="173"/>
      <c r="H64" s="173"/>
      <c r="I64" s="173"/>
      <c r="J64" s="173"/>
      <c r="K64" s="173"/>
      <c r="L64" s="173"/>
    </row>
    <row r="65" spans="1:12" ht="12.75">
      <c r="A65" s="176"/>
      <c r="B65" s="176"/>
      <c r="C65" s="176"/>
      <c r="D65" s="175"/>
      <c r="E65" s="173"/>
      <c r="F65" s="174"/>
      <c r="G65" s="173"/>
      <c r="H65" s="173"/>
      <c r="I65" s="173"/>
      <c r="J65" s="173"/>
      <c r="K65" s="173"/>
      <c r="L65" s="173"/>
    </row>
    <row r="66" spans="1:12" ht="12.75">
      <c r="A66" s="176"/>
      <c r="B66" s="176"/>
      <c r="C66" s="176"/>
      <c r="D66" s="175"/>
      <c r="E66" s="173"/>
      <c r="F66" s="174"/>
      <c r="G66" s="173"/>
      <c r="H66" s="173"/>
      <c r="I66" s="173"/>
      <c r="J66" s="173"/>
      <c r="K66" s="173"/>
      <c r="L66" s="173"/>
    </row>
    <row r="67" spans="1:12" ht="12.75">
      <c r="A67" s="176"/>
      <c r="B67" s="176"/>
      <c r="C67" s="176"/>
      <c r="D67" s="175"/>
      <c r="E67" s="173"/>
      <c r="F67" s="174"/>
      <c r="G67" s="173"/>
      <c r="H67" s="173"/>
      <c r="I67" s="173"/>
      <c r="J67" s="173"/>
      <c r="K67" s="173"/>
      <c r="L67" s="173"/>
    </row>
    <row r="68" spans="1:12" ht="12.75">
      <c r="A68" s="176"/>
      <c r="B68" s="176"/>
      <c r="C68" s="176"/>
      <c r="D68" s="175"/>
      <c r="E68" s="173"/>
      <c r="F68" s="174"/>
      <c r="G68" s="173"/>
      <c r="H68" s="173"/>
      <c r="I68" s="173"/>
      <c r="J68" s="173"/>
      <c r="K68" s="173"/>
      <c r="L68" s="173"/>
    </row>
    <row r="69" spans="1:12" ht="12.75">
      <c r="A69" s="176"/>
      <c r="B69" s="176"/>
      <c r="C69" s="176"/>
      <c r="D69" s="175"/>
      <c r="E69" s="173"/>
      <c r="F69" s="174"/>
      <c r="G69" s="173"/>
      <c r="H69" s="173"/>
      <c r="I69" s="173"/>
      <c r="J69" s="173"/>
      <c r="K69" s="173"/>
      <c r="L69" s="173"/>
    </row>
    <row r="70" spans="1:12" ht="12.75">
      <c r="A70" s="176"/>
      <c r="B70" s="176"/>
      <c r="C70" s="176"/>
      <c r="D70" s="175"/>
      <c r="E70" s="173"/>
      <c r="F70" s="174"/>
      <c r="G70" s="173"/>
      <c r="H70" s="173"/>
      <c r="I70" s="173"/>
      <c r="J70" s="173"/>
      <c r="K70" s="173"/>
      <c r="L70" s="173"/>
    </row>
    <row r="71" spans="1:12" ht="12.75">
      <c r="A71" s="176"/>
      <c r="B71" s="176"/>
      <c r="C71" s="176"/>
      <c r="D71" s="175"/>
      <c r="E71" s="173"/>
      <c r="F71" s="174"/>
      <c r="G71" s="173"/>
      <c r="H71" s="173"/>
      <c r="I71" s="173"/>
      <c r="J71" s="173"/>
      <c r="K71" s="173"/>
      <c r="L71" s="173"/>
    </row>
    <row r="72" spans="1:12" ht="12.75">
      <c r="A72" s="176"/>
      <c r="B72" s="176"/>
      <c r="C72" s="176"/>
      <c r="D72" s="175"/>
      <c r="E72" s="173"/>
      <c r="F72" s="174"/>
      <c r="G72" s="173"/>
      <c r="H72" s="173"/>
      <c r="I72" s="173"/>
      <c r="J72" s="173"/>
      <c r="K72" s="173"/>
      <c r="L72" s="173"/>
    </row>
    <row r="73" spans="1:12" ht="12.75">
      <c r="A73" s="176"/>
      <c r="B73" s="176"/>
      <c r="C73" s="176"/>
      <c r="D73" s="175"/>
      <c r="E73" s="173"/>
      <c r="F73" s="174"/>
      <c r="G73" s="173"/>
      <c r="H73" s="173"/>
      <c r="I73" s="173"/>
      <c r="J73" s="173"/>
      <c r="K73" s="173"/>
      <c r="L73" s="173"/>
    </row>
    <row r="74" spans="1:12" ht="12.75">
      <c r="A74" s="176"/>
      <c r="B74" s="176"/>
      <c r="C74" s="176"/>
      <c r="D74" s="175"/>
      <c r="E74" s="173"/>
      <c r="F74" s="174"/>
      <c r="G74" s="173"/>
      <c r="H74" s="173"/>
      <c r="I74" s="173"/>
      <c r="J74" s="173"/>
      <c r="K74" s="173"/>
      <c r="L74" s="173"/>
    </row>
    <row r="75" spans="1:12" ht="12.75">
      <c r="A75" s="176"/>
      <c r="B75" s="176"/>
      <c r="C75" s="176"/>
      <c r="D75" s="175"/>
      <c r="E75" s="173"/>
      <c r="F75" s="174"/>
      <c r="G75" s="173"/>
      <c r="H75" s="173"/>
      <c r="I75" s="173"/>
      <c r="J75" s="173"/>
      <c r="K75" s="173"/>
      <c r="L75" s="173"/>
    </row>
    <row r="76" spans="1:12" ht="12.75">
      <c r="A76" s="176"/>
      <c r="B76" s="176"/>
      <c r="C76" s="176"/>
      <c r="D76" s="175"/>
      <c r="E76" s="173"/>
      <c r="F76" s="174"/>
      <c r="G76" s="173"/>
      <c r="H76" s="173"/>
      <c r="I76" s="173"/>
      <c r="J76" s="173"/>
      <c r="K76" s="173"/>
      <c r="L76" s="173"/>
    </row>
    <row r="77" spans="1:12" ht="12.75">
      <c r="A77" s="176"/>
      <c r="B77" s="176"/>
      <c r="C77" s="176"/>
      <c r="D77" s="175"/>
      <c r="E77" s="173"/>
      <c r="F77" s="174"/>
      <c r="G77" s="173"/>
      <c r="H77" s="173"/>
      <c r="I77" s="173"/>
      <c r="J77" s="173"/>
      <c r="K77" s="173"/>
      <c r="L77" s="173"/>
    </row>
    <row r="78" spans="1:12" ht="12.75">
      <c r="A78" s="176"/>
      <c r="B78" s="176"/>
      <c r="C78" s="176"/>
      <c r="D78" s="175"/>
      <c r="E78" s="173"/>
      <c r="F78" s="174"/>
      <c r="G78" s="173"/>
      <c r="H78" s="173"/>
      <c r="I78" s="173"/>
      <c r="J78" s="173"/>
      <c r="K78" s="173"/>
      <c r="L78" s="173"/>
    </row>
    <row r="79" spans="1:12" ht="12.75">
      <c r="A79" s="176"/>
      <c r="B79" s="176"/>
      <c r="C79" s="176"/>
      <c r="D79" s="175"/>
      <c r="E79" s="173"/>
      <c r="F79" s="174"/>
      <c r="G79" s="173"/>
      <c r="H79" s="173"/>
      <c r="I79" s="173"/>
      <c r="J79" s="173"/>
      <c r="K79" s="173"/>
      <c r="L79" s="173"/>
    </row>
    <row r="80" spans="1:12" ht="12.75">
      <c r="A80" s="176"/>
      <c r="B80" s="176"/>
      <c r="C80" s="176"/>
      <c r="D80" s="175"/>
      <c r="E80" s="173"/>
      <c r="F80" s="174"/>
      <c r="G80" s="173"/>
      <c r="H80" s="173"/>
      <c r="I80" s="173"/>
      <c r="J80" s="173"/>
      <c r="K80" s="173"/>
      <c r="L80" s="173"/>
    </row>
    <row r="81" spans="1:12" ht="12.75">
      <c r="A81" s="176"/>
      <c r="B81" s="176"/>
      <c r="C81" s="176"/>
      <c r="D81" s="175"/>
      <c r="E81" s="173"/>
      <c r="F81" s="174"/>
      <c r="G81" s="173"/>
      <c r="H81" s="173"/>
      <c r="I81" s="173"/>
      <c r="J81" s="173"/>
      <c r="K81" s="173"/>
      <c r="L81" s="173"/>
    </row>
    <row r="82" spans="1:12" ht="12.75">
      <c r="A82" s="176"/>
      <c r="B82" s="176"/>
      <c r="C82" s="176"/>
      <c r="D82" s="175"/>
      <c r="E82" s="173"/>
      <c r="F82" s="174"/>
      <c r="G82" s="173"/>
      <c r="H82" s="173"/>
      <c r="I82" s="173"/>
      <c r="J82" s="173"/>
      <c r="K82" s="173"/>
      <c r="L82" s="173"/>
    </row>
    <row r="83" spans="1:12" ht="12.75">
      <c r="A83" s="176"/>
      <c r="B83" s="176"/>
      <c r="C83" s="176"/>
      <c r="D83" s="175"/>
      <c r="E83" s="173"/>
      <c r="F83" s="174"/>
      <c r="G83" s="173"/>
      <c r="H83" s="173"/>
      <c r="I83" s="173"/>
      <c r="J83" s="173"/>
      <c r="K83" s="173"/>
      <c r="L83" s="173"/>
    </row>
    <row r="84" spans="1:12" ht="12.75">
      <c r="A84" s="176"/>
      <c r="B84" s="176"/>
      <c r="C84" s="176"/>
      <c r="D84" s="175"/>
      <c r="E84" s="173"/>
      <c r="F84" s="174"/>
      <c r="G84" s="173"/>
      <c r="H84" s="173"/>
      <c r="I84" s="173"/>
      <c r="J84" s="173"/>
      <c r="K84" s="173"/>
      <c r="L84" s="173"/>
    </row>
    <row r="85" spans="1:12" ht="12.75">
      <c r="A85" s="176"/>
      <c r="B85" s="176"/>
      <c r="C85" s="176"/>
      <c r="D85" s="175"/>
      <c r="E85" s="173"/>
      <c r="F85" s="174"/>
      <c r="G85" s="173"/>
      <c r="H85" s="173"/>
      <c r="I85" s="173"/>
      <c r="J85" s="173"/>
      <c r="K85" s="173"/>
      <c r="L85" s="173"/>
    </row>
    <row r="86" spans="1:12" ht="12.75">
      <c r="A86" s="176"/>
      <c r="B86" s="176"/>
      <c r="C86" s="176"/>
      <c r="D86" s="175"/>
      <c r="E86" s="173"/>
      <c r="F86" s="174"/>
      <c r="G86" s="173"/>
      <c r="H86" s="173"/>
      <c r="I86" s="173"/>
      <c r="J86" s="173"/>
      <c r="K86" s="173"/>
      <c r="L86" s="173"/>
    </row>
    <row r="87" spans="1:12" ht="12.75">
      <c r="A87" s="176"/>
      <c r="B87" s="176"/>
      <c r="C87" s="176"/>
      <c r="D87" s="175"/>
      <c r="E87" s="173"/>
      <c r="F87" s="174"/>
      <c r="G87" s="173"/>
      <c r="H87" s="173"/>
      <c r="I87" s="173"/>
      <c r="J87" s="173"/>
      <c r="K87" s="173"/>
      <c r="L87" s="173"/>
    </row>
    <row r="88" spans="1:12" ht="12.75">
      <c r="A88" s="176"/>
      <c r="B88" s="176"/>
      <c r="C88" s="176"/>
      <c r="D88" s="175"/>
      <c r="E88" s="173"/>
      <c r="F88" s="174"/>
      <c r="G88" s="173"/>
      <c r="H88" s="173"/>
      <c r="I88" s="173"/>
      <c r="J88" s="173"/>
      <c r="K88" s="173"/>
      <c r="L88" s="173"/>
    </row>
    <row r="89" spans="1:12" ht="12.75">
      <c r="A89" s="176"/>
      <c r="B89" s="176"/>
      <c r="C89" s="176"/>
      <c r="D89" s="175"/>
      <c r="E89" s="173"/>
      <c r="F89" s="174"/>
      <c r="G89" s="173"/>
      <c r="H89" s="173"/>
      <c r="I89" s="173"/>
      <c r="J89" s="173"/>
      <c r="K89" s="173"/>
      <c r="L89" s="173"/>
    </row>
    <row r="90" spans="1:12" ht="12.75">
      <c r="A90" s="176"/>
      <c r="B90" s="176"/>
      <c r="C90" s="176"/>
      <c r="D90" s="175"/>
      <c r="E90" s="173"/>
      <c r="F90" s="174"/>
      <c r="G90" s="173"/>
      <c r="H90" s="173"/>
      <c r="I90" s="173"/>
      <c r="J90" s="173"/>
      <c r="K90" s="173"/>
      <c r="L90" s="173"/>
    </row>
    <row r="91" spans="1:12" ht="12.75">
      <c r="A91" s="176"/>
      <c r="B91" s="176"/>
      <c r="C91" s="176"/>
      <c r="D91" s="175"/>
      <c r="E91" s="173"/>
      <c r="F91" s="174"/>
      <c r="G91" s="173"/>
      <c r="H91" s="173"/>
      <c r="I91" s="173"/>
      <c r="J91" s="173"/>
      <c r="K91" s="173"/>
      <c r="L91" s="173"/>
    </row>
    <row r="92" spans="1:12" ht="12.75">
      <c r="A92" s="176"/>
      <c r="B92" s="176"/>
      <c r="C92" s="176"/>
      <c r="D92" s="175"/>
      <c r="E92" s="173"/>
      <c r="F92" s="174"/>
      <c r="G92" s="173"/>
      <c r="H92" s="173"/>
      <c r="I92" s="173"/>
      <c r="J92" s="173"/>
      <c r="K92" s="173"/>
      <c r="L92" s="173"/>
    </row>
    <row r="93" spans="1:12" ht="12.75">
      <c r="A93" s="176"/>
      <c r="B93" s="176"/>
      <c r="C93" s="176"/>
      <c r="D93" s="175"/>
      <c r="E93" s="173"/>
      <c r="F93" s="174"/>
      <c r="G93" s="173"/>
      <c r="H93" s="173"/>
      <c r="I93" s="173"/>
      <c r="J93" s="173"/>
      <c r="K93" s="173"/>
      <c r="L93" s="173"/>
    </row>
    <row r="94" spans="1:12" ht="12.75">
      <c r="A94" s="176"/>
      <c r="B94" s="176"/>
      <c r="C94" s="176"/>
      <c r="D94" s="175"/>
      <c r="E94" s="173"/>
      <c r="F94" s="174"/>
      <c r="G94" s="173"/>
      <c r="H94" s="173"/>
      <c r="I94" s="173"/>
      <c r="J94" s="173"/>
      <c r="K94" s="173"/>
      <c r="L94" s="173"/>
    </row>
    <row r="95" spans="1:12" ht="12.75">
      <c r="A95" s="176"/>
      <c r="B95" s="176"/>
      <c r="C95" s="176"/>
      <c r="D95" s="175"/>
      <c r="E95" s="173"/>
      <c r="F95" s="174"/>
      <c r="G95" s="173"/>
      <c r="H95" s="173"/>
      <c r="I95" s="173"/>
      <c r="J95" s="173"/>
      <c r="K95" s="173"/>
      <c r="L95" s="173"/>
    </row>
    <row r="96" spans="1:12" ht="12.75">
      <c r="A96" s="176"/>
      <c r="B96" s="176"/>
      <c r="C96" s="176"/>
      <c r="D96" s="175"/>
      <c r="E96" s="173"/>
      <c r="F96" s="174"/>
      <c r="G96" s="173"/>
      <c r="H96" s="173"/>
      <c r="I96" s="173"/>
      <c r="J96" s="173"/>
      <c r="K96" s="173"/>
      <c r="L96" s="173"/>
    </row>
    <row r="97" spans="1:12" ht="12.75">
      <c r="A97" s="176"/>
      <c r="B97" s="176"/>
      <c r="C97" s="176"/>
      <c r="D97" s="175"/>
      <c r="E97" s="173"/>
      <c r="F97" s="174"/>
      <c r="G97" s="173"/>
      <c r="H97" s="173"/>
      <c r="I97" s="173"/>
      <c r="J97" s="173"/>
      <c r="K97" s="173"/>
      <c r="L97" s="173"/>
    </row>
    <row r="98" spans="1:12" ht="12.75">
      <c r="A98" s="176"/>
      <c r="B98" s="176"/>
      <c r="C98" s="176"/>
      <c r="D98" s="175"/>
      <c r="E98" s="173"/>
      <c r="F98" s="174"/>
      <c r="G98" s="173"/>
      <c r="H98" s="173"/>
      <c r="I98" s="173"/>
      <c r="J98" s="173"/>
      <c r="K98" s="173"/>
      <c r="L98" s="173"/>
    </row>
    <row r="99" spans="1:12" ht="12.75">
      <c r="A99" s="176"/>
      <c r="B99" s="176"/>
      <c r="C99" s="176"/>
      <c r="D99" s="175"/>
      <c r="E99" s="173"/>
      <c r="F99" s="174"/>
      <c r="G99" s="173"/>
      <c r="H99" s="173"/>
      <c r="I99" s="173"/>
      <c r="J99" s="173"/>
      <c r="K99" s="173"/>
      <c r="L99" s="173"/>
    </row>
    <row r="100" spans="1:12" ht="12.75">
      <c r="A100" s="176"/>
      <c r="B100" s="176"/>
      <c r="C100" s="176"/>
      <c r="D100" s="175"/>
      <c r="E100" s="173"/>
      <c r="F100" s="174"/>
      <c r="G100" s="173"/>
      <c r="H100" s="173"/>
      <c r="I100" s="173"/>
      <c r="J100" s="173"/>
      <c r="K100" s="173"/>
      <c r="L100" s="173"/>
    </row>
    <row r="101" spans="1:12" ht="12.75">
      <c r="A101" s="176"/>
      <c r="B101" s="176"/>
      <c r="C101" s="176"/>
      <c r="D101" s="175"/>
      <c r="E101" s="173"/>
      <c r="F101" s="174"/>
      <c r="G101" s="173"/>
      <c r="H101" s="173"/>
      <c r="I101" s="173"/>
      <c r="J101" s="173"/>
      <c r="K101" s="173"/>
      <c r="L101" s="173"/>
    </row>
    <row r="102" spans="1:12" ht="12.75">
      <c r="A102" s="176"/>
      <c r="B102" s="176"/>
      <c r="C102" s="176"/>
      <c r="D102" s="175"/>
      <c r="E102" s="173"/>
      <c r="F102" s="174"/>
      <c r="G102" s="173"/>
      <c r="H102" s="173"/>
      <c r="I102" s="173"/>
      <c r="J102" s="173"/>
      <c r="K102" s="173"/>
      <c r="L102" s="173"/>
    </row>
    <row r="103" spans="1:12" ht="12.75">
      <c r="A103" s="176"/>
      <c r="B103" s="176"/>
      <c r="C103" s="176"/>
      <c r="D103" s="175"/>
      <c r="E103" s="173"/>
      <c r="F103" s="174"/>
      <c r="G103" s="173"/>
      <c r="H103" s="173"/>
      <c r="I103" s="173"/>
      <c r="J103" s="173"/>
      <c r="K103" s="173"/>
      <c r="L103" s="173"/>
    </row>
    <row r="104" spans="1:12" ht="12.75">
      <c r="A104" s="176"/>
      <c r="B104" s="176"/>
      <c r="C104" s="176"/>
      <c r="D104" s="175"/>
      <c r="E104" s="173"/>
      <c r="F104" s="174"/>
      <c r="G104" s="173"/>
      <c r="H104" s="173"/>
      <c r="I104" s="173"/>
      <c r="J104" s="173"/>
      <c r="K104" s="173"/>
      <c r="L104" s="173"/>
    </row>
    <row r="105" spans="1:12" ht="12.75">
      <c r="A105" s="176"/>
      <c r="B105" s="176"/>
      <c r="C105" s="176"/>
      <c r="D105" s="175"/>
      <c r="E105" s="173"/>
      <c r="F105" s="174"/>
      <c r="G105" s="173"/>
      <c r="H105" s="173"/>
      <c r="I105" s="173"/>
      <c r="J105" s="173"/>
      <c r="K105" s="173"/>
      <c r="L105" s="173"/>
    </row>
    <row r="106" spans="1:12" ht="12.75">
      <c r="A106" s="176"/>
      <c r="B106" s="176"/>
      <c r="C106" s="176"/>
      <c r="D106" s="175"/>
      <c r="E106" s="173"/>
      <c r="F106" s="174"/>
      <c r="G106" s="173"/>
      <c r="H106" s="173"/>
      <c r="I106" s="173"/>
      <c r="J106" s="173"/>
      <c r="K106" s="173"/>
      <c r="L106" s="173"/>
    </row>
    <row r="107" spans="1:12" ht="12.75">
      <c r="A107" s="176"/>
      <c r="B107" s="176"/>
      <c r="C107" s="176"/>
      <c r="D107" s="175"/>
      <c r="E107" s="173"/>
      <c r="F107" s="174"/>
      <c r="G107" s="173"/>
      <c r="H107" s="173"/>
      <c r="I107" s="173"/>
      <c r="J107" s="173"/>
      <c r="K107" s="173"/>
      <c r="L107" s="173"/>
    </row>
    <row r="108" spans="1:12" ht="12.75">
      <c r="A108" s="176"/>
      <c r="B108" s="176"/>
      <c r="C108" s="176"/>
      <c r="D108" s="175"/>
      <c r="E108" s="173"/>
      <c r="F108" s="174"/>
      <c r="G108" s="173"/>
      <c r="H108" s="173"/>
      <c r="I108" s="173"/>
      <c r="J108" s="173"/>
      <c r="K108" s="173"/>
      <c r="L108" s="173"/>
    </row>
    <row r="109" spans="1:12" ht="12.75">
      <c r="A109" s="176"/>
      <c r="B109" s="176"/>
      <c r="C109" s="176"/>
      <c r="D109" s="175"/>
      <c r="E109" s="173"/>
      <c r="F109" s="174"/>
      <c r="G109" s="173"/>
      <c r="H109" s="173"/>
      <c r="I109" s="173"/>
      <c r="J109" s="173"/>
      <c r="K109" s="173"/>
      <c r="L109" s="173"/>
    </row>
    <row r="110" spans="1:12" ht="12.75">
      <c r="A110" s="176"/>
      <c r="B110" s="176"/>
      <c r="C110" s="176"/>
      <c r="D110" s="175"/>
      <c r="E110" s="173"/>
      <c r="F110" s="174"/>
      <c r="G110" s="173"/>
      <c r="H110" s="173"/>
      <c r="I110" s="173"/>
      <c r="J110" s="173"/>
      <c r="K110" s="173"/>
      <c r="L110" s="173"/>
    </row>
    <row r="111" spans="1:12" ht="12.75">
      <c r="A111" s="176"/>
      <c r="B111" s="176"/>
      <c r="C111" s="176"/>
      <c r="D111" s="175"/>
      <c r="E111" s="173"/>
      <c r="F111" s="174"/>
      <c r="G111" s="173"/>
      <c r="H111" s="173"/>
      <c r="I111" s="173"/>
      <c r="J111" s="173"/>
      <c r="K111" s="173"/>
      <c r="L111" s="173"/>
    </row>
    <row r="112" spans="1:12" ht="12.75">
      <c r="A112" s="176"/>
      <c r="B112" s="176"/>
      <c r="C112" s="176"/>
      <c r="D112" s="175"/>
      <c r="E112" s="173"/>
      <c r="F112" s="174"/>
      <c r="G112" s="173"/>
      <c r="H112" s="173"/>
      <c r="I112" s="173"/>
      <c r="J112" s="173"/>
      <c r="K112" s="173"/>
      <c r="L112" s="173"/>
    </row>
    <row r="113" spans="1:12" ht="12.75">
      <c r="A113" s="176"/>
      <c r="B113" s="176"/>
      <c r="C113" s="176"/>
      <c r="D113" s="175"/>
      <c r="E113" s="173"/>
      <c r="F113" s="174"/>
      <c r="G113" s="173"/>
      <c r="H113" s="173"/>
      <c r="I113" s="173"/>
      <c r="J113" s="173"/>
      <c r="K113" s="173"/>
      <c r="L113" s="173"/>
    </row>
    <row r="114" spans="1:12" ht="12.75">
      <c r="A114" s="176"/>
      <c r="B114" s="176"/>
      <c r="C114" s="176"/>
      <c r="D114" s="175"/>
      <c r="E114" s="173"/>
      <c r="F114" s="174"/>
      <c r="G114" s="173"/>
      <c r="H114" s="173"/>
      <c r="I114" s="173"/>
      <c r="J114" s="173"/>
      <c r="K114" s="173"/>
      <c r="L114" s="173"/>
    </row>
    <row r="115" spans="1:12" ht="12.75">
      <c r="A115" s="176"/>
      <c r="B115" s="176"/>
      <c r="C115" s="176"/>
      <c r="D115" s="175"/>
      <c r="E115" s="173"/>
      <c r="F115" s="174"/>
      <c r="G115" s="173"/>
      <c r="H115" s="173"/>
      <c r="I115" s="173"/>
      <c r="J115" s="173"/>
      <c r="K115" s="173"/>
      <c r="L115" s="173"/>
    </row>
    <row r="116" spans="1:12" ht="12.75">
      <c r="A116" s="176"/>
      <c r="B116" s="176"/>
      <c r="C116" s="176"/>
      <c r="D116" s="175"/>
      <c r="E116" s="173"/>
      <c r="F116" s="174"/>
      <c r="G116" s="173"/>
      <c r="H116" s="173"/>
      <c r="I116" s="173"/>
      <c r="J116" s="173"/>
      <c r="K116" s="173"/>
      <c r="L116" s="173"/>
    </row>
    <row r="117" spans="1:12" ht="12.75">
      <c r="A117" s="176"/>
      <c r="B117" s="176"/>
      <c r="C117" s="176"/>
      <c r="D117" s="175"/>
      <c r="E117" s="173"/>
      <c r="F117" s="174"/>
      <c r="G117" s="173"/>
      <c r="H117" s="173"/>
      <c r="I117" s="173"/>
      <c r="J117" s="173"/>
      <c r="K117" s="173"/>
      <c r="L117" s="173"/>
    </row>
    <row r="118" spans="1:12" ht="12.75">
      <c r="A118" s="176"/>
      <c r="B118" s="176"/>
      <c r="C118" s="176"/>
      <c r="D118" s="175"/>
      <c r="E118" s="173"/>
      <c r="F118" s="174"/>
      <c r="G118" s="173"/>
      <c r="H118" s="173"/>
      <c r="I118" s="173"/>
      <c r="J118" s="173"/>
      <c r="K118" s="173"/>
      <c r="L118" s="173"/>
    </row>
    <row r="119" spans="1:12" ht="12.75">
      <c r="A119" s="176"/>
      <c r="B119" s="176"/>
      <c r="C119" s="176"/>
      <c r="D119" s="175"/>
      <c r="E119" s="173"/>
      <c r="F119" s="174"/>
      <c r="G119" s="173"/>
      <c r="H119" s="173"/>
      <c r="I119" s="173"/>
      <c r="J119" s="173"/>
      <c r="K119" s="173"/>
      <c r="L119" s="173"/>
    </row>
    <row r="120" spans="1:12" ht="12.75">
      <c r="A120" s="176"/>
      <c r="B120" s="176"/>
      <c r="C120" s="176"/>
      <c r="D120" s="175"/>
      <c r="E120" s="173"/>
      <c r="F120" s="174"/>
      <c r="G120" s="173"/>
      <c r="H120" s="173"/>
      <c r="I120" s="173"/>
      <c r="J120" s="173"/>
      <c r="K120" s="173"/>
      <c r="L120" s="173"/>
    </row>
    <row r="121" spans="1:12" ht="12.75">
      <c r="A121" s="176"/>
      <c r="B121" s="176"/>
      <c r="C121" s="176"/>
      <c r="D121" s="175"/>
      <c r="E121" s="173"/>
      <c r="F121" s="174"/>
      <c r="G121" s="173"/>
      <c r="H121" s="173"/>
      <c r="I121" s="173"/>
      <c r="J121" s="173"/>
      <c r="K121" s="173"/>
      <c r="L121" s="173"/>
    </row>
    <row r="122" spans="1:12" ht="12.75">
      <c r="A122" s="176"/>
      <c r="B122" s="176"/>
      <c r="C122" s="176"/>
      <c r="D122" s="175"/>
      <c r="E122" s="173"/>
      <c r="F122" s="174"/>
      <c r="G122" s="173"/>
      <c r="H122" s="173"/>
      <c r="I122" s="173"/>
      <c r="J122" s="173"/>
      <c r="K122" s="173"/>
      <c r="L122" s="173"/>
    </row>
    <row r="123" spans="1:12" ht="12.75">
      <c r="A123" s="176"/>
      <c r="B123" s="176"/>
      <c r="C123" s="176"/>
      <c r="D123" s="175"/>
      <c r="E123" s="173"/>
      <c r="F123" s="174"/>
      <c r="G123" s="173"/>
      <c r="H123" s="173"/>
      <c r="I123" s="173"/>
      <c r="J123" s="173"/>
      <c r="K123" s="173"/>
      <c r="L123" s="173"/>
    </row>
    <row r="124" spans="1:12" ht="12.75">
      <c r="A124" s="176"/>
      <c r="B124" s="176"/>
      <c r="C124" s="176"/>
      <c r="D124" s="175"/>
      <c r="E124" s="173"/>
      <c r="F124" s="174"/>
      <c r="G124" s="173"/>
      <c r="H124" s="173"/>
      <c r="I124" s="173"/>
      <c r="J124" s="173"/>
      <c r="K124" s="173"/>
      <c r="L124" s="173"/>
    </row>
    <row r="125" spans="1:12" ht="12.75">
      <c r="A125" s="176"/>
      <c r="B125" s="176"/>
      <c r="C125" s="176"/>
      <c r="D125" s="175"/>
      <c r="E125" s="173"/>
      <c r="F125" s="174"/>
      <c r="G125" s="173"/>
      <c r="H125" s="173"/>
      <c r="I125" s="173"/>
      <c r="J125" s="173"/>
      <c r="K125" s="173"/>
      <c r="L125" s="173"/>
    </row>
    <row r="126" spans="1:12" ht="12.75">
      <c r="A126" s="176"/>
      <c r="B126" s="176"/>
      <c r="C126" s="176"/>
      <c r="D126" s="175"/>
      <c r="E126" s="173"/>
      <c r="F126" s="174"/>
      <c r="G126" s="173"/>
      <c r="H126" s="173"/>
      <c r="I126" s="173"/>
      <c r="J126" s="173"/>
      <c r="K126" s="173"/>
      <c r="L126" s="173"/>
    </row>
    <row r="127" spans="1:12" ht="12.75">
      <c r="A127" s="176"/>
      <c r="B127" s="176"/>
      <c r="C127" s="176"/>
      <c r="D127" s="175"/>
      <c r="E127" s="173"/>
      <c r="F127" s="174"/>
      <c r="G127" s="173"/>
      <c r="H127" s="173"/>
      <c r="I127" s="173"/>
      <c r="J127" s="173"/>
      <c r="K127" s="173"/>
      <c r="L127" s="173"/>
    </row>
    <row r="128" spans="1:12" ht="12.75">
      <c r="A128" s="176"/>
      <c r="B128" s="176"/>
      <c r="C128" s="176"/>
      <c r="D128" s="175"/>
      <c r="E128" s="173"/>
      <c r="F128" s="174"/>
      <c r="G128" s="173"/>
      <c r="H128" s="173"/>
      <c r="I128" s="173"/>
      <c r="J128" s="173"/>
      <c r="K128" s="173"/>
      <c r="L128" s="173"/>
    </row>
    <row r="129" spans="1:12" ht="12.75">
      <c r="A129" s="176"/>
      <c r="B129" s="176"/>
      <c r="C129" s="176"/>
      <c r="D129" s="175"/>
      <c r="E129" s="173"/>
      <c r="F129" s="174"/>
      <c r="G129" s="173"/>
      <c r="H129" s="173"/>
      <c r="I129" s="173"/>
      <c r="J129" s="173"/>
      <c r="K129" s="173"/>
      <c r="L129" s="173"/>
    </row>
    <row r="130" spans="1:12" ht="12.75">
      <c r="A130" s="176"/>
      <c r="B130" s="176"/>
      <c r="C130" s="176"/>
      <c r="D130" s="175"/>
      <c r="E130" s="173"/>
      <c r="F130" s="174"/>
      <c r="G130" s="173"/>
      <c r="H130" s="173"/>
      <c r="I130" s="173"/>
      <c r="J130" s="173"/>
      <c r="K130" s="173"/>
      <c r="L130" s="173"/>
    </row>
    <row r="131" spans="1:12" ht="12.75">
      <c r="A131" s="176"/>
      <c r="B131" s="176"/>
      <c r="C131" s="176"/>
      <c r="D131" s="175"/>
      <c r="E131" s="173"/>
      <c r="F131" s="174"/>
      <c r="G131" s="173"/>
      <c r="H131" s="173"/>
      <c r="I131" s="173"/>
      <c r="J131" s="173"/>
      <c r="K131" s="173"/>
      <c r="L131" s="173"/>
    </row>
    <row r="132" spans="1:12" ht="12.75">
      <c r="A132" s="176"/>
      <c r="B132" s="176"/>
      <c r="C132" s="176"/>
      <c r="D132" s="175"/>
      <c r="E132" s="173"/>
      <c r="F132" s="174"/>
      <c r="G132" s="173"/>
      <c r="H132" s="173"/>
      <c r="I132" s="173"/>
      <c r="J132" s="173"/>
      <c r="K132" s="173"/>
      <c r="L132" s="173"/>
    </row>
    <row r="133" spans="1:12" ht="12.75">
      <c r="A133" s="176"/>
      <c r="B133" s="176"/>
      <c r="C133" s="176"/>
      <c r="D133" s="175"/>
      <c r="E133" s="173"/>
      <c r="F133" s="174"/>
      <c r="G133" s="173"/>
      <c r="H133" s="173"/>
      <c r="I133" s="173"/>
      <c r="J133" s="173"/>
      <c r="K133" s="173"/>
      <c r="L133" s="173"/>
    </row>
    <row r="134" spans="1:12" ht="12.75">
      <c r="A134" s="176"/>
      <c r="B134" s="176"/>
      <c r="C134" s="176"/>
      <c r="D134" s="175"/>
      <c r="E134" s="173"/>
      <c r="F134" s="174"/>
      <c r="G134" s="173"/>
      <c r="H134" s="173"/>
      <c r="I134" s="173"/>
      <c r="J134" s="173"/>
      <c r="K134" s="173"/>
      <c r="L134" s="173"/>
    </row>
    <row r="135" spans="1:12" ht="12.75">
      <c r="A135" s="176"/>
      <c r="B135" s="176"/>
      <c r="C135" s="176"/>
      <c r="D135" s="175"/>
      <c r="E135" s="173"/>
      <c r="F135" s="174"/>
      <c r="G135" s="173"/>
      <c r="H135" s="173"/>
      <c r="I135" s="173"/>
      <c r="J135" s="173"/>
      <c r="K135" s="173"/>
      <c r="L135" s="173"/>
    </row>
    <row r="136" spans="1:12" ht="12.75">
      <c r="A136" s="176"/>
      <c r="B136" s="176"/>
      <c r="C136" s="176"/>
      <c r="D136" s="175"/>
      <c r="E136" s="173"/>
      <c r="F136" s="174"/>
      <c r="G136" s="173"/>
      <c r="H136" s="173"/>
      <c r="I136" s="173"/>
      <c r="J136" s="173"/>
      <c r="K136" s="173"/>
      <c r="L136" s="173"/>
    </row>
    <row r="137" spans="1:12" ht="12.75">
      <c r="A137" s="176"/>
      <c r="B137" s="176"/>
      <c r="C137" s="176"/>
      <c r="D137" s="175"/>
      <c r="E137" s="173"/>
      <c r="F137" s="174"/>
      <c r="G137" s="173"/>
      <c r="H137" s="173"/>
      <c r="I137" s="173"/>
      <c r="J137" s="173"/>
      <c r="K137" s="173"/>
      <c r="L137" s="173"/>
    </row>
    <row r="138" spans="1:12" ht="12.75">
      <c r="A138" s="176"/>
      <c r="B138" s="176"/>
      <c r="C138" s="176"/>
      <c r="D138" s="175"/>
      <c r="E138" s="173"/>
      <c r="F138" s="174"/>
      <c r="G138" s="173"/>
      <c r="H138" s="173"/>
      <c r="I138" s="173"/>
      <c r="J138" s="173"/>
      <c r="K138" s="173"/>
      <c r="L138" s="173"/>
    </row>
    <row r="139" spans="1:12" ht="12.75">
      <c r="A139" s="176"/>
      <c r="B139" s="176"/>
      <c r="C139" s="176"/>
      <c r="D139" s="175"/>
      <c r="E139" s="173"/>
      <c r="F139" s="174"/>
      <c r="G139" s="173"/>
      <c r="H139" s="173"/>
      <c r="I139" s="173"/>
      <c r="J139" s="173"/>
      <c r="K139" s="173"/>
      <c r="L139" s="173"/>
    </row>
    <row r="140" spans="1:12" ht="12.75">
      <c r="A140" s="176"/>
      <c r="B140" s="176"/>
      <c r="C140" s="176"/>
      <c r="D140" s="175"/>
      <c r="E140" s="173"/>
      <c r="F140" s="174"/>
      <c r="G140" s="173"/>
      <c r="H140" s="173"/>
      <c r="I140" s="173"/>
      <c r="J140" s="173"/>
      <c r="K140" s="173"/>
      <c r="L140" s="173"/>
    </row>
    <row r="141" spans="1:12" ht="12.75">
      <c r="A141" s="176"/>
      <c r="B141" s="176"/>
      <c r="C141" s="176"/>
      <c r="D141" s="175"/>
      <c r="E141" s="173"/>
      <c r="F141" s="174"/>
      <c r="G141" s="173"/>
      <c r="H141" s="173"/>
      <c r="I141" s="173"/>
      <c r="J141" s="173"/>
      <c r="K141" s="173"/>
      <c r="L141" s="173"/>
    </row>
    <row r="142" spans="1:12" ht="12.75">
      <c r="A142" s="176"/>
      <c r="B142" s="176"/>
      <c r="C142" s="176"/>
      <c r="D142" s="175"/>
      <c r="E142" s="173"/>
      <c r="F142" s="174"/>
      <c r="G142" s="173"/>
      <c r="H142" s="173"/>
      <c r="I142" s="173"/>
      <c r="J142" s="173"/>
      <c r="K142" s="173"/>
      <c r="L142" s="173"/>
    </row>
    <row r="143" spans="1:12" ht="12.75">
      <c r="A143" s="176"/>
      <c r="B143" s="176"/>
      <c r="C143" s="176"/>
      <c r="D143" s="175"/>
      <c r="E143" s="173"/>
      <c r="F143" s="174"/>
      <c r="G143" s="173"/>
      <c r="H143" s="173"/>
      <c r="I143" s="173"/>
      <c r="J143" s="173"/>
      <c r="K143" s="173"/>
      <c r="L143" s="173"/>
    </row>
    <row r="144" spans="1:12" ht="12.75">
      <c r="A144" s="176"/>
      <c r="B144" s="176"/>
      <c r="C144" s="176"/>
      <c r="D144" s="175"/>
      <c r="E144" s="173"/>
      <c r="F144" s="174"/>
      <c r="G144" s="173"/>
      <c r="H144" s="173"/>
      <c r="I144" s="173"/>
      <c r="J144" s="173"/>
      <c r="K144" s="173"/>
      <c r="L144" s="173"/>
    </row>
    <row r="145" spans="1:12" ht="12.75">
      <c r="A145" s="176"/>
      <c r="B145" s="176"/>
      <c r="C145" s="176"/>
      <c r="D145" s="175"/>
      <c r="E145" s="173"/>
      <c r="F145" s="174"/>
      <c r="G145" s="173"/>
      <c r="H145" s="173"/>
      <c r="I145" s="173"/>
      <c r="J145" s="173"/>
      <c r="K145" s="173"/>
      <c r="L145" s="173"/>
    </row>
    <row r="146" spans="1:12" ht="12.75">
      <c r="A146" s="176"/>
      <c r="B146" s="176"/>
      <c r="C146" s="176"/>
      <c r="D146" s="175"/>
      <c r="E146" s="173"/>
      <c r="F146" s="174"/>
      <c r="G146" s="173"/>
      <c r="H146" s="173"/>
      <c r="I146" s="173"/>
      <c r="J146" s="173"/>
      <c r="K146" s="173"/>
      <c r="L146" s="173"/>
    </row>
    <row r="147" spans="1:12" ht="12.75">
      <c r="A147" s="176"/>
      <c r="B147" s="176"/>
      <c r="C147" s="176"/>
      <c r="D147" s="175"/>
      <c r="E147" s="173"/>
      <c r="F147" s="174"/>
      <c r="G147" s="173"/>
      <c r="H147" s="173"/>
      <c r="I147" s="173"/>
      <c r="J147" s="173"/>
      <c r="K147" s="173"/>
      <c r="L147" s="173"/>
    </row>
    <row r="148" spans="1:12" ht="12.75">
      <c r="A148" s="176"/>
      <c r="B148" s="176"/>
      <c r="C148" s="176"/>
      <c r="D148" s="175"/>
      <c r="E148" s="173"/>
      <c r="F148" s="174"/>
      <c r="G148" s="173"/>
      <c r="H148" s="173"/>
      <c r="I148" s="173"/>
      <c r="J148" s="173"/>
      <c r="K148" s="173"/>
      <c r="L148" s="173"/>
    </row>
    <row r="149" spans="1:12" ht="12.75">
      <c r="A149" s="176"/>
      <c r="B149" s="176"/>
      <c r="C149" s="176"/>
      <c r="D149" s="175"/>
      <c r="E149" s="173"/>
      <c r="F149" s="174"/>
      <c r="G149" s="173"/>
      <c r="H149" s="173"/>
      <c r="I149" s="173"/>
      <c r="J149" s="173"/>
      <c r="K149" s="173"/>
      <c r="L149" s="173"/>
    </row>
    <row r="150" spans="1:12" ht="12.75">
      <c r="A150" s="176"/>
      <c r="B150" s="176"/>
      <c r="C150" s="176"/>
      <c r="D150" s="175"/>
      <c r="E150" s="173"/>
      <c r="F150" s="174"/>
      <c r="G150" s="173"/>
      <c r="H150" s="173"/>
      <c r="I150" s="173"/>
      <c r="J150" s="173"/>
      <c r="K150" s="173"/>
      <c r="L150" s="173"/>
    </row>
    <row r="151" spans="1:12" ht="12.75">
      <c r="A151" s="176"/>
      <c r="B151" s="176"/>
      <c r="C151" s="176"/>
      <c r="D151" s="175"/>
      <c r="E151" s="173"/>
      <c r="F151" s="174"/>
      <c r="G151" s="173"/>
      <c r="H151" s="173"/>
      <c r="I151" s="173"/>
      <c r="J151" s="173"/>
      <c r="K151" s="173"/>
      <c r="L151" s="173"/>
    </row>
    <row r="152" spans="1:12" ht="12.75">
      <c r="A152" s="176"/>
      <c r="B152" s="176"/>
      <c r="C152" s="176"/>
      <c r="D152" s="175"/>
      <c r="E152" s="173"/>
      <c r="F152" s="174"/>
      <c r="G152" s="173"/>
      <c r="H152" s="173"/>
      <c r="I152" s="173"/>
      <c r="J152" s="173"/>
      <c r="K152" s="173"/>
      <c r="L152" s="173"/>
    </row>
    <row r="153" spans="1:12" ht="12.75">
      <c r="A153" s="176"/>
      <c r="B153" s="176"/>
      <c r="C153" s="176"/>
      <c r="D153" s="175"/>
      <c r="E153" s="173"/>
      <c r="F153" s="174"/>
      <c r="G153" s="173"/>
      <c r="H153" s="173"/>
      <c r="I153" s="173"/>
      <c r="J153" s="173"/>
      <c r="K153" s="173"/>
      <c r="L153" s="173"/>
    </row>
    <row r="154" spans="1:12" ht="12.75">
      <c r="A154" s="176"/>
      <c r="B154" s="176"/>
      <c r="C154" s="176"/>
      <c r="D154" s="175"/>
      <c r="E154" s="173"/>
      <c r="F154" s="174"/>
      <c r="G154" s="173"/>
      <c r="H154" s="173"/>
      <c r="I154" s="173"/>
      <c r="J154" s="173"/>
      <c r="K154" s="173"/>
      <c r="L154" s="173"/>
    </row>
    <row r="155" spans="1:12" ht="12.75">
      <c r="A155" s="176"/>
      <c r="B155" s="176"/>
      <c r="C155" s="176"/>
      <c r="D155" s="175"/>
      <c r="E155" s="173"/>
      <c r="F155" s="174"/>
      <c r="G155" s="173"/>
      <c r="H155" s="173"/>
      <c r="I155" s="173"/>
      <c r="J155" s="173"/>
      <c r="K155" s="173"/>
      <c r="L155" s="173"/>
    </row>
    <row r="156" spans="1:12" ht="12.75">
      <c r="A156" s="176"/>
      <c r="B156" s="176"/>
      <c r="C156" s="176"/>
      <c r="D156" s="175"/>
      <c r="E156" s="173"/>
      <c r="F156" s="174"/>
      <c r="G156" s="173"/>
      <c r="H156" s="173"/>
      <c r="I156" s="173"/>
      <c r="J156" s="173"/>
      <c r="K156" s="173"/>
      <c r="L156" s="173"/>
    </row>
    <row r="157" spans="1:12" ht="12.75">
      <c r="A157" s="176"/>
      <c r="B157" s="176"/>
      <c r="C157" s="176"/>
      <c r="D157" s="175"/>
      <c r="E157" s="173"/>
      <c r="F157" s="174"/>
      <c r="G157" s="173"/>
      <c r="H157" s="173"/>
      <c r="I157" s="173"/>
      <c r="J157" s="173"/>
      <c r="K157" s="173"/>
      <c r="L157" s="173"/>
    </row>
    <row r="158" spans="1:12" ht="12.75">
      <c r="A158" s="176"/>
      <c r="B158" s="176"/>
      <c r="C158" s="176"/>
      <c r="D158" s="175"/>
      <c r="E158" s="173"/>
      <c r="F158" s="174"/>
      <c r="G158" s="173"/>
      <c r="H158" s="173"/>
      <c r="I158" s="173"/>
      <c r="J158" s="173"/>
      <c r="K158" s="173"/>
      <c r="L158" s="173"/>
    </row>
    <row r="159" spans="1:12" ht="12.75">
      <c r="A159" s="176"/>
      <c r="B159" s="176"/>
      <c r="C159" s="176"/>
      <c r="D159" s="175"/>
      <c r="E159" s="173"/>
      <c r="F159" s="174"/>
      <c r="G159" s="173"/>
      <c r="H159" s="173"/>
      <c r="I159" s="173"/>
      <c r="J159" s="173"/>
      <c r="K159" s="173"/>
      <c r="L159" s="173"/>
    </row>
    <row r="160" spans="1:12" ht="12.75">
      <c r="A160" s="176"/>
      <c r="B160" s="176"/>
      <c r="C160" s="176"/>
      <c r="D160" s="175"/>
      <c r="E160" s="173"/>
      <c r="F160" s="174"/>
      <c r="G160" s="173"/>
      <c r="H160" s="173"/>
      <c r="I160" s="173"/>
      <c r="J160" s="173"/>
      <c r="K160" s="173"/>
      <c r="L160" s="173"/>
    </row>
    <row r="161" spans="1:12" ht="12.75">
      <c r="A161" s="176"/>
      <c r="B161" s="176"/>
      <c r="C161" s="176"/>
      <c r="D161" s="175"/>
      <c r="E161" s="173"/>
      <c r="F161" s="174"/>
      <c r="G161" s="173"/>
      <c r="H161" s="173"/>
      <c r="I161" s="173"/>
      <c r="J161" s="173"/>
      <c r="K161" s="173"/>
      <c r="L161" s="173"/>
    </row>
    <row r="162" spans="1:12" ht="12.75">
      <c r="A162" s="176"/>
      <c r="B162" s="176"/>
      <c r="C162" s="176"/>
      <c r="D162" s="175"/>
      <c r="E162" s="173"/>
      <c r="F162" s="174"/>
      <c r="G162" s="173"/>
      <c r="H162" s="173"/>
      <c r="I162" s="173"/>
      <c r="J162" s="173"/>
      <c r="K162" s="173"/>
      <c r="L162" s="173"/>
    </row>
    <row r="163" spans="1:12" ht="12.75">
      <c r="A163" s="176"/>
      <c r="B163" s="176"/>
      <c r="C163" s="176"/>
      <c r="D163" s="175"/>
      <c r="E163" s="173"/>
      <c r="F163" s="174"/>
      <c r="G163" s="173"/>
      <c r="H163" s="173"/>
      <c r="I163" s="173"/>
      <c r="J163" s="173"/>
      <c r="K163" s="173"/>
      <c r="L163" s="173"/>
    </row>
    <row r="164" spans="1:12" ht="12.75">
      <c r="A164" s="176"/>
      <c r="B164" s="176"/>
      <c r="C164" s="176"/>
      <c r="D164" s="175"/>
      <c r="E164" s="173"/>
      <c r="F164" s="174"/>
      <c r="G164" s="173"/>
      <c r="H164" s="173"/>
      <c r="I164" s="173"/>
      <c r="J164" s="173"/>
      <c r="K164" s="173"/>
      <c r="L164" s="173"/>
    </row>
    <row r="165" spans="1:12" ht="12.75">
      <c r="A165" s="176"/>
      <c r="B165" s="176"/>
      <c r="C165" s="176"/>
      <c r="D165" s="175"/>
      <c r="E165" s="173"/>
      <c r="F165" s="174"/>
      <c r="G165" s="173"/>
      <c r="H165" s="173"/>
      <c r="I165" s="173"/>
      <c r="J165" s="173"/>
      <c r="K165" s="173"/>
      <c r="L165" s="173"/>
    </row>
    <row r="166" spans="1:12" ht="12.75">
      <c r="A166" s="176"/>
      <c r="B166" s="176"/>
      <c r="C166" s="176"/>
      <c r="D166" s="175"/>
      <c r="E166" s="173"/>
      <c r="F166" s="174"/>
      <c r="G166" s="173"/>
      <c r="H166" s="173"/>
      <c r="I166" s="173"/>
      <c r="J166" s="173"/>
      <c r="K166" s="173"/>
      <c r="L166" s="173"/>
    </row>
    <row r="167" spans="1:12" ht="12.75">
      <c r="A167" s="176"/>
      <c r="B167" s="176"/>
      <c r="C167" s="176"/>
      <c r="D167" s="175"/>
      <c r="E167" s="173"/>
      <c r="F167" s="174"/>
      <c r="G167" s="173"/>
      <c r="H167" s="173"/>
      <c r="I167" s="173"/>
      <c r="J167" s="173"/>
      <c r="K167" s="173"/>
      <c r="L167" s="173"/>
    </row>
    <row r="168" spans="1:12" ht="12.75">
      <c r="A168" s="176"/>
      <c r="B168" s="176"/>
      <c r="C168" s="176"/>
      <c r="D168" s="175"/>
      <c r="E168" s="173"/>
      <c r="F168" s="174"/>
      <c r="G168" s="173"/>
      <c r="H168" s="173"/>
      <c r="I168" s="173"/>
      <c r="J168" s="173"/>
      <c r="K168" s="173"/>
      <c r="L168" s="173"/>
    </row>
    <row r="169" spans="1:12" ht="12.75">
      <c r="A169" s="176"/>
      <c r="B169" s="176"/>
      <c r="C169" s="176"/>
      <c r="D169" s="175"/>
      <c r="E169" s="173"/>
      <c r="F169" s="174"/>
      <c r="G169" s="173"/>
      <c r="H169" s="173"/>
      <c r="I169" s="173"/>
      <c r="J169" s="173"/>
      <c r="K169" s="173"/>
      <c r="L169" s="173"/>
    </row>
    <row r="170" spans="1:12" ht="12.75">
      <c r="A170" s="176"/>
      <c r="B170" s="176"/>
      <c r="C170" s="176"/>
      <c r="D170" s="175"/>
      <c r="E170" s="173"/>
      <c r="F170" s="174"/>
      <c r="G170" s="173"/>
      <c r="H170" s="173"/>
      <c r="I170" s="173"/>
      <c r="J170" s="173"/>
      <c r="K170" s="173"/>
      <c r="L170" s="173"/>
    </row>
    <row r="171" spans="1:12" ht="12.75">
      <c r="A171" s="176"/>
      <c r="B171" s="176"/>
      <c r="C171" s="176"/>
      <c r="D171" s="175"/>
      <c r="E171" s="173"/>
      <c r="F171" s="174"/>
      <c r="G171" s="173"/>
      <c r="H171" s="173"/>
      <c r="I171" s="173"/>
      <c r="J171" s="173"/>
      <c r="K171" s="173"/>
      <c r="L171" s="173"/>
    </row>
    <row r="172" spans="1:12" ht="12.75">
      <c r="A172" s="176"/>
      <c r="B172" s="176"/>
      <c r="C172" s="176"/>
      <c r="D172" s="175"/>
      <c r="E172" s="173"/>
      <c r="F172" s="174"/>
      <c r="G172" s="173"/>
      <c r="H172" s="173"/>
      <c r="I172" s="173"/>
      <c r="J172" s="173"/>
      <c r="K172" s="173"/>
      <c r="L172" s="173"/>
    </row>
    <row r="173" spans="1:12" ht="12.75">
      <c r="A173" s="176"/>
      <c r="B173" s="176"/>
      <c r="C173" s="176"/>
      <c r="D173" s="175"/>
      <c r="E173" s="173"/>
      <c r="F173" s="174"/>
      <c r="G173" s="173"/>
      <c r="H173" s="173"/>
      <c r="I173" s="173"/>
      <c r="J173" s="173"/>
      <c r="K173" s="173"/>
      <c r="L173" s="173"/>
    </row>
    <row r="174" spans="1:12" ht="12.75">
      <c r="A174" s="176"/>
      <c r="B174" s="176"/>
      <c r="C174" s="176"/>
      <c r="D174" s="175"/>
      <c r="E174" s="173"/>
      <c r="F174" s="174"/>
      <c r="G174" s="173"/>
      <c r="H174" s="173"/>
      <c r="I174" s="173"/>
      <c r="J174" s="173"/>
      <c r="K174" s="173"/>
      <c r="L174" s="173"/>
    </row>
    <row r="175" spans="1:12" ht="12.75">
      <c r="A175" s="176"/>
      <c r="B175" s="176"/>
      <c r="C175" s="176"/>
      <c r="D175" s="175"/>
      <c r="E175" s="173"/>
      <c r="F175" s="174"/>
      <c r="G175" s="173"/>
      <c r="H175" s="173"/>
      <c r="I175" s="173"/>
      <c r="J175" s="173"/>
      <c r="K175" s="173"/>
      <c r="L175" s="173"/>
    </row>
    <row r="176" spans="1:12" ht="12.75">
      <c r="A176" s="176"/>
      <c r="B176" s="176"/>
      <c r="C176" s="176"/>
      <c r="D176" s="175"/>
      <c r="E176" s="173"/>
      <c r="F176" s="174"/>
      <c r="G176" s="173"/>
      <c r="H176" s="173"/>
      <c r="I176" s="173"/>
      <c r="J176" s="173"/>
      <c r="K176" s="173"/>
      <c r="L176" s="173"/>
    </row>
    <row r="177" spans="1:12" ht="12.75">
      <c r="A177" s="176"/>
      <c r="B177" s="176"/>
      <c r="C177" s="176"/>
      <c r="D177" s="175"/>
      <c r="E177" s="173"/>
      <c r="F177" s="174"/>
      <c r="G177" s="173"/>
      <c r="H177" s="173"/>
      <c r="I177" s="173"/>
      <c r="J177" s="173"/>
      <c r="K177" s="173"/>
      <c r="L177" s="173"/>
    </row>
    <row r="178" spans="1:12" ht="12.75">
      <c r="A178" s="176"/>
      <c r="B178" s="176"/>
      <c r="C178" s="176"/>
      <c r="D178" s="175"/>
      <c r="E178" s="173"/>
      <c r="F178" s="174"/>
      <c r="G178" s="173"/>
      <c r="H178" s="173"/>
      <c r="I178" s="173"/>
      <c r="J178" s="173"/>
      <c r="K178" s="173"/>
      <c r="L178" s="173"/>
    </row>
    <row r="179" spans="1:12" ht="12.75">
      <c r="A179" s="176"/>
      <c r="B179" s="176"/>
      <c r="C179" s="176"/>
      <c r="D179" s="175"/>
      <c r="E179" s="173"/>
      <c r="F179" s="174"/>
      <c r="G179" s="173"/>
      <c r="H179" s="173"/>
      <c r="I179" s="173"/>
      <c r="J179" s="173"/>
      <c r="K179" s="173"/>
      <c r="L179" s="173"/>
    </row>
    <row r="180" spans="1:12" ht="12.75">
      <c r="A180" s="176"/>
      <c r="B180" s="176"/>
      <c r="C180" s="176"/>
      <c r="D180" s="175"/>
      <c r="E180" s="173"/>
      <c r="F180" s="174"/>
      <c r="G180" s="173"/>
      <c r="H180" s="173"/>
      <c r="I180" s="173"/>
      <c r="J180" s="173"/>
      <c r="K180" s="173"/>
      <c r="L180" s="173"/>
    </row>
    <row r="181" spans="1:12" ht="12.75">
      <c r="A181" s="176"/>
      <c r="B181" s="176"/>
      <c r="C181" s="176"/>
      <c r="D181" s="175"/>
      <c r="E181" s="173"/>
      <c r="F181" s="174"/>
      <c r="G181" s="173"/>
      <c r="H181" s="173"/>
      <c r="I181" s="173"/>
      <c r="J181" s="173"/>
      <c r="K181" s="173"/>
      <c r="L181" s="173"/>
    </row>
    <row r="182" spans="1:12" ht="12.75">
      <c r="A182" s="176"/>
      <c r="B182" s="176"/>
      <c r="C182" s="176"/>
      <c r="D182" s="175"/>
      <c r="E182" s="173"/>
      <c r="F182" s="174"/>
      <c r="G182" s="173"/>
      <c r="H182" s="173"/>
      <c r="I182" s="173"/>
      <c r="J182" s="173"/>
      <c r="K182" s="173"/>
      <c r="L182" s="173"/>
    </row>
    <row r="183" spans="1:12" ht="12.75">
      <c r="A183" s="176"/>
      <c r="B183" s="176"/>
      <c r="C183" s="176"/>
      <c r="D183" s="175"/>
      <c r="E183" s="173"/>
      <c r="F183" s="174"/>
      <c r="G183" s="173"/>
      <c r="H183" s="173"/>
      <c r="I183" s="173"/>
      <c r="J183" s="173"/>
      <c r="K183" s="173"/>
      <c r="L183" s="173"/>
    </row>
    <row r="184" spans="1:12" ht="12.75">
      <c r="A184" s="176"/>
      <c r="B184" s="176"/>
      <c r="C184" s="176"/>
      <c r="D184" s="175"/>
      <c r="E184" s="173"/>
      <c r="F184" s="174"/>
      <c r="G184" s="173"/>
      <c r="H184" s="173"/>
      <c r="I184" s="173"/>
      <c r="J184" s="173"/>
      <c r="K184" s="173"/>
      <c r="L184" s="173"/>
    </row>
    <row r="185" spans="1:12" ht="12.75">
      <c r="A185" s="176"/>
      <c r="B185" s="176"/>
      <c r="C185" s="176"/>
      <c r="D185" s="175"/>
      <c r="E185" s="173"/>
      <c r="F185" s="174"/>
      <c r="G185" s="173"/>
      <c r="H185" s="173"/>
      <c r="I185" s="173"/>
      <c r="J185" s="173"/>
      <c r="K185" s="173"/>
      <c r="L185" s="173"/>
    </row>
    <row r="186" spans="1:12" ht="12.75">
      <c r="A186" s="176"/>
      <c r="B186" s="176"/>
      <c r="C186" s="176"/>
      <c r="D186" s="175"/>
      <c r="E186" s="173"/>
      <c r="F186" s="174"/>
      <c r="G186" s="173"/>
      <c r="H186" s="173"/>
      <c r="I186" s="173"/>
      <c r="J186" s="173"/>
      <c r="K186" s="173"/>
      <c r="L186" s="173"/>
    </row>
    <row r="187" spans="1:12" ht="12.75">
      <c r="A187" s="176"/>
      <c r="B187" s="176"/>
      <c r="C187" s="176"/>
      <c r="D187" s="175"/>
      <c r="E187" s="173"/>
      <c r="F187" s="174"/>
      <c r="G187" s="173"/>
      <c r="H187" s="173"/>
      <c r="I187" s="173"/>
      <c r="J187" s="173"/>
      <c r="K187" s="173"/>
      <c r="L187" s="173"/>
    </row>
    <row r="188" spans="1:12" ht="12.75">
      <c r="A188" s="176"/>
      <c r="B188" s="176"/>
      <c r="C188" s="176"/>
      <c r="D188" s="175"/>
      <c r="E188" s="173"/>
      <c r="F188" s="174"/>
      <c r="G188" s="173"/>
      <c r="H188" s="173"/>
      <c r="I188" s="173"/>
      <c r="J188" s="173"/>
      <c r="K188" s="173"/>
      <c r="L188" s="173"/>
    </row>
    <row r="189" spans="1:12" ht="12.75">
      <c r="A189" s="176"/>
      <c r="B189" s="176"/>
      <c r="C189" s="176"/>
      <c r="D189" s="175"/>
      <c r="E189" s="173"/>
      <c r="F189" s="174"/>
      <c r="G189" s="173"/>
      <c r="H189" s="173"/>
      <c r="I189" s="173"/>
      <c r="J189" s="173"/>
      <c r="K189" s="173"/>
      <c r="L189" s="173"/>
    </row>
    <row r="190" spans="1:12" ht="12.75">
      <c r="A190" s="176"/>
      <c r="B190" s="176"/>
      <c r="C190" s="176"/>
      <c r="D190" s="175"/>
      <c r="E190" s="173"/>
      <c r="F190" s="174"/>
      <c r="G190" s="173"/>
      <c r="H190" s="173"/>
      <c r="I190" s="173"/>
      <c r="J190" s="173"/>
      <c r="K190" s="173"/>
      <c r="L190" s="173"/>
    </row>
    <row r="191" spans="1:12" ht="12.75">
      <c r="A191" s="176"/>
      <c r="B191" s="176"/>
      <c r="C191" s="176"/>
      <c r="D191" s="175"/>
      <c r="E191" s="173"/>
      <c r="F191" s="174"/>
      <c r="G191" s="173"/>
      <c r="H191" s="173"/>
      <c r="I191" s="173"/>
      <c r="J191" s="173"/>
      <c r="K191" s="173"/>
      <c r="L191" s="173"/>
    </row>
    <row r="192" spans="1:12" ht="12.75">
      <c r="A192" s="176"/>
      <c r="B192" s="176"/>
      <c r="C192" s="176"/>
      <c r="D192" s="175"/>
      <c r="E192" s="173"/>
      <c r="F192" s="174"/>
      <c r="G192" s="173"/>
      <c r="H192" s="173"/>
      <c r="I192" s="173"/>
      <c r="J192" s="173"/>
      <c r="K192" s="173"/>
      <c r="L192" s="173"/>
    </row>
    <row r="193" spans="1:12" ht="12.75">
      <c r="A193" s="176"/>
      <c r="B193" s="176"/>
      <c r="C193" s="176"/>
      <c r="D193" s="175"/>
      <c r="E193" s="173"/>
      <c r="F193" s="174"/>
      <c r="G193" s="173"/>
      <c r="H193" s="173"/>
      <c r="I193" s="173"/>
      <c r="J193" s="173"/>
      <c r="K193" s="173"/>
      <c r="L193" s="173"/>
    </row>
    <row r="194" spans="1:12" ht="12.75">
      <c r="A194" s="176"/>
      <c r="B194" s="176"/>
      <c r="C194" s="176"/>
      <c r="D194" s="175"/>
      <c r="E194" s="173"/>
      <c r="F194" s="174"/>
      <c r="G194" s="173"/>
      <c r="H194" s="173"/>
      <c r="I194" s="173"/>
      <c r="J194" s="173"/>
      <c r="K194" s="173"/>
      <c r="L194" s="173"/>
    </row>
    <row r="195" spans="1:12" ht="12.75">
      <c r="A195" s="176"/>
      <c r="B195" s="176"/>
      <c r="C195" s="176"/>
      <c r="D195" s="175"/>
      <c r="E195" s="173"/>
      <c r="F195" s="174"/>
      <c r="G195" s="173"/>
      <c r="H195" s="173"/>
      <c r="I195" s="173"/>
      <c r="J195" s="173"/>
      <c r="K195" s="173"/>
      <c r="L195" s="173"/>
    </row>
    <row r="196" spans="1:12" ht="12.75">
      <c r="A196" s="176"/>
      <c r="B196" s="176"/>
      <c r="C196" s="176"/>
      <c r="D196" s="175"/>
      <c r="E196" s="173"/>
      <c r="F196" s="174"/>
      <c r="G196" s="173"/>
      <c r="H196" s="173"/>
      <c r="I196" s="173"/>
      <c r="J196" s="173"/>
      <c r="K196" s="173"/>
      <c r="L196" s="173"/>
    </row>
    <row r="197" spans="1:12" ht="12.75">
      <c r="A197" s="176"/>
      <c r="B197" s="176"/>
      <c r="C197" s="176"/>
      <c r="D197" s="175"/>
      <c r="E197" s="173"/>
      <c r="F197" s="174"/>
      <c r="G197" s="173"/>
      <c r="H197" s="173"/>
      <c r="I197" s="173"/>
      <c r="J197" s="173"/>
      <c r="K197" s="173"/>
      <c r="L197" s="173"/>
    </row>
    <row r="198" spans="1:12" ht="12.75">
      <c r="A198" s="176"/>
      <c r="B198" s="176"/>
      <c r="C198" s="176"/>
      <c r="D198" s="175"/>
      <c r="E198" s="173"/>
      <c r="F198" s="174"/>
      <c r="G198" s="173"/>
      <c r="H198" s="173"/>
      <c r="I198" s="173"/>
      <c r="J198" s="173"/>
      <c r="K198" s="173"/>
      <c r="L198" s="173"/>
    </row>
    <row r="199" spans="1:12" ht="12.75">
      <c r="A199" s="176"/>
      <c r="B199" s="176"/>
      <c r="C199" s="176"/>
      <c r="D199" s="175"/>
      <c r="E199" s="173"/>
      <c r="F199" s="174"/>
      <c r="G199" s="173"/>
      <c r="H199" s="173"/>
      <c r="I199" s="173"/>
      <c r="J199" s="173"/>
      <c r="K199" s="173"/>
      <c r="L199" s="173"/>
    </row>
    <row r="200" spans="1:12" ht="12.75">
      <c r="A200" s="176"/>
      <c r="B200" s="176"/>
      <c r="C200" s="176"/>
      <c r="D200" s="175"/>
      <c r="E200" s="173"/>
      <c r="F200" s="174"/>
      <c r="G200" s="173"/>
      <c r="H200" s="173"/>
      <c r="I200" s="173"/>
      <c r="J200" s="173"/>
      <c r="K200" s="173"/>
      <c r="L200" s="173"/>
    </row>
    <row r="201" spans="1:12" ht="12.75">
      <c r="A201" s="176"/>
      <c r="B201" s="176"/>
      <c r="C201" s="176"/>
      <c r="D201" s="175"/>
      <c r="E201" s="173"/>
      <c r="F201" s="174"/>
      <c r="G201" s="173"/>
      <c r="H201" s="173"/>
      <c r="I201" s="173"/>
      <c r="J201" s="173"/>
      <c r="K201" s="173"/>
      <c r="L201" s="173"/>
    </row>
    <row r="202" spans="1:12" ht="12.75">
      <c r="A202" s="176"/>
      <c r="B202" s="176"/>
      <c r="C202" s="176"/>
      <c r="D202" s="175"/>
      <c r="E202" s="173"/>
      <c r="F202" s="174"/>
      <c r="G202" s="173"/>
      <c r="H202" s="173"/>
      <c r="I202" s="173"/>
      <c r="J202" s="173"/>
      <c r="K202" s="173"/>
      <c r="L202" s="173"/>
    </row>
    <row r="203" spans="1:12" ht="12.75">
      <c r="A203" s="176"/>
      <c r="B203" s="176"/>
      <c r="C203" s="176"/>
      <c r="D203" s="175"/>
      <c r="E203" s="173"/>
      <c r="F203" s="174"/>
      <c r="G203" s="173"/>
      <c r="H203" s="173"/>
      <c r="I203" s="173"/>
      <c r="J203" s="173"/>
      <c r="K203" s="173"/>
      <c r="L203" s="173"/>
    </row>
    <row r="204" spans="1:12" ht="12.75">
      <c r="A204" s="176"/>
      <c r="B204" s="176"/>
      <c r="C204" s="176"/>
      <c r="D204" s="175"/>
      <c r="E204" s="173"/>
      <c r="F204" s="174"/>
      <c r="G204" s="173"/>
      <c r="H204" s="173"/>
      <c r="I204" s="173"/>
      <c r="J204" s="173"/>
      <c r="K204" s="173"/>
      <c r="L204" s="173"/>
    </row>
    <row r="205" spans="1:12" ht="12.75">
      <c r="A205" s="176"/>
      <c r="B205" s="176"/>
      <c r="C205" s="176"/>
      <c r="D205" s="175"/>
      <c r="E205" s="173"/>
      <c r="F205" s="174"/>
      <c r="G205" s="173"/>
      <c r="H205" s="173"/>
      <c r="I205" s="173"/>
      <c r="J205" s="173"/>
      <c r="K205" s="173"/>
      <c r="L205" s="173"/>
    </row>
    <row r="206" spans="1:12" ht="12.75">
      <c r="A206" s="176"/>
      <c r="B206" s="176"/>
      <c r="C206" s="176"/>
      <c r="D206" s="175"/>
      <c r="E206" s="173"/>
      <c r="F206" s="174"/>
      <c r="G206" s="173"/>
      <c r="H206" s="173"/>
      <c r="I206" s="173"/>
      <c r="J206" s="173"/>
      <c r="K206" s="173"/>
      <c r="L206" s="173"/>
    </row>
    <row r="207" spans="1:12" ht="12.75">
      <c r="A207" s="176"/>
      <c r="B207" s="176"/>
      <c r="C207" s="176"/>
      <c r="D207" s="175"/>
      <c r="E207" s="173"/>
      <c r="F207" s="174"/>
      <c r="G207" s="173"/>
      <c r="H207" s="173"/>
      <c r="I207" s="173"/>
      <c r="J207" s="173"/>
      <c r="K207" s="173"/>
      <c r="L207" s="173"/>
    </row>
    <row r="208" spans="1:12" ht="12.75">
      <c r="A208" s="176"/>
      <c r="B208" s="176"/>
      <c r="C208" s="176"/>
      <c r="D208" s="175"/>
      <c r="E208" s="173"/>
      <c r="F208" s="174"/>
      <c r="G208" s="173"/>
      <c r="H208" s="173"/>
      <c r="I208" s="173"/>
      <c r="J208" s="173"/>
      <c r="K208" s="173"/>
      <c r="L208" s="173"/>
    </row>
    <row r="209" spans="1:12" ht="12.75">
      <c r="A209" s="176"/>
      <c r="B209" s="176"/>
      <c r="C209" s="176"/>
      <c r="D209" s="175"/>
      <c r="E209" s="173"/>
      <c r="F209" s="174"/>
      <c r="G209" s="173"/>
      <c r="H209" s="173"/>
      <c r="I209" s="173"/>
      <c r="J209" s="173"/>
      <c r="K209" s="173"/>
      <c r="L209" s="173"/>
    </row>
    <row r="210" spans="1:12" ht="12.75">
      <c r="A210" s="176"/>
      <c r="B210" s="176"/>
      <c r="C210" s="176"/>
      <c r="D210" s="175"/>
      <c r="E210" s="173"/>
      <c r="F210" s="174"/>
      <c r="G210" s="173"/>
      <c r="H210" s="173"/>
      <c r="I210" s="173"/>
      <c r="J210" s="173"/>
      <c r="K210" s="173"/>
      <c r="L210" s="173"/>
    </row>
    <row r="211" spans="1:12" ht="12.75">
      <c r="A211" s="176"/>
      <c r="B211" s="176"/>
      <c r="C211" s="176"/>
      <c r="D211" s="175"/>
      <c r="E211" s="173"/>
      <c r="F211" s="174"/>
      <c r="G211" s="173"/>
      <c r="H211" s="173"/>
      <c r="I211" s="173"/>
      <c r="J211" s="173"/>
      <c r="K211" s="173"/>
      <c r="L211" s="173"/>
    </row>
    <row r="212" spans="1:12" ht="12.75">
      <c r="A212" s="176"/>
      <c r="B212" s="176"/>
      <c r="C212" s="176"/>
      <c r="D212" s="175"/>
      <c r="E212" s="173"/>
      <c r="F212" s="174"/>
      <c r="G212" s="173"/>
      <c r="H212" s="173"/>
      <c r="I212" s="173"/>
      <c r="J212" s="173"/>
      <c r="K212" s="173"/>
      <c r="L212" s="173"/>
    </row>
    <row r="213" spans="1:12" ht="12.75">
      <c r="A213" s="176"/>
      <c r="B213" s="176"/>
      <c r="C213" s="176"/>
      <c r="D213" s="175"/>
      <c r="E213" s="173"/>
      <c r="F213" s="174"/>
      <c r="G213" s="173"/>
      <c r="H213" s="173"/>
      <c r="I213" s="173"/>
      <c r="J213" s="173"/>
      <c r="K213" s="173"/>
      <c r="L213" s="173"/>
    </row>
    <row r="214" spans="1:12" ht="12.75">
      <c r="A214" s="176"/>
      <c r="B214" s="176"/>
      <c r="C214" s="176"/>
      <c r="D214" s="175"/>
      <c r="E214" s="173"/>
      <c r="F214" s="174"/>
      <c r="G214" s="173"/>
      <c r="H214" s="173"/>
      <c r="I214" s="173"/>
      <c r="J214" s="173"/>
      <c r="K214" s="173"/>
      <c r="L214" s="173"/>
    </row>
    <row r="215" spans="1:12" ht="12.75">
      <c r="A215" s="176"/>
      <c r="B215" s="176"/>
      <c r="C215" s="176"/>
      <c r="D215" s="175"/>
      <c r="E215" s="173"/>
      <c r="F215" s="174"/>
      <c r="G215" s="173"/>
      <c r="H215" s="173"/>
      <c r="I215" s="173"/>
      <c r="J215" s="173"/>
      <c r="K215" s="173"/>
      <c r="L215" s="173"/>
    </row>
    <row r="216" spans="1:12" ht="12.75">
      <c r="A216" s="176"/>
      <c r="B216" s="176"/>
      <c r="C216" s="176"/>
      <c r="D216" s="175"/>
      <c r="E216" s="173"/>
      <c r="F216" s="174"/>
      <c r="G216" s="173"/>
      <c r="H216" s="173"/>
      <c r="I216" s="173"/>
      <c r="J216" s="173"/>
      <c r="K216" s="173"/>
      <c r="L216" s="173"/>
    </row>
    <row r="217" spans="1:12" ht="12.75">
      <c r="A217" s="176"/>
      <c r="B217" s="176"/>
      <c r="C217" s="176"/>
      <c r="D217" s="175"/>
      <c r="E217" s="173"/>
      <c r="F217" s="174"/>
      <c r="G217" s="173"/>
      <c r="H217" s="173"/>
      <c r="I217" s="173"/>
      <c r="J217" s="173"/>
      <c r="K217" s="173"/>
      <c r="L217" s="173"/>
    </row>
    <row r="218" spans="1:12" ht="12.75">
      <c r="A218" s="176"/>
      <c r="B218" s="176"/>
      <c r="C218" s="176"/>
      <c r="D218" s="175"/>
      <c r="E218" s="173"/>
      <c r="F218" s="174"/>
      <c r="G218" s="173"/>
      <c r="H218" s="173"/>
      <c r="I218" s="173"/>
      <c r="J218" s="173"/>
      <c r="K218" s="173"/>
      <c r="L218" s="173"/>
    </row>
    <row r="219" spans="1:12" ht="12.75">
      <c r="A219" s="176"/>
      <c r="B219" s="176"/>
      <c r="C219" s="176"/>
      <c r="D219" s="175"/>
      <c r="E219" s="173"/>
      <c r="F219" s="174"/>
      <c r="G219" s="173"/>
      <c r="H219" s="173"/>
      <c r="I219" s="173"/>
      <c r="J219" s="173"/>
      <c r="K219" s="173"/>
      <c r="L219" s="173"/>
    </row>
    <row r="220" spans="1:12" ht="12.75">
      <c r="A220" s="176"/>
      <c r="B220" s="176"/>
      <c r="C220" s="176"/>
      <c r="D220" s="175"/>
      <c r="E220" s="173"/>
      <c r="F220" s="174"/>
      <c r="G220" s="173"/>
      <c r="H220" s="173"/>
      <c r="I220" s="173"/>
      <c r="J220" s="173"/>
      <c r="K220" s="173"/>
      <c r="L220" s="173"/>
    </row>
    <row r="221" spans="1:12" ht="12.75">
      <c r="A221" s="176"/>
      <c r="B221" s="176"/>
      <c r="C221" s="176"/>
      <c r="D221" s="175"/>
      <c r="E221" s="173"/>
      <c r="F221" s="174"/>
      <c r="G221" s="173"/>
      <c r="H221" s="173"/>
      <c r="I221" s="173"/>
      <c r="J221" s="173"/>
      <c r="K221" s="173"/>
      <c r="L221" s="173"/>
    </row>
    <row r="222" spans="1:12" ht="12.75">
      <c r="A222" s="176"/>
      <c r="B222" s="176"/>
      <c r="C222" s="176"/>
      <c r="D222" s="175"/>
      <c r="E222" s="173"/>
      <c r="F222" s="174"/>
      <c r="G222" s="173"/>
      <c r="H222" s="173"/>
      <c r="I222" s="173"/>
      <c r="J222" s="173"/>
      <c r="K222" s="173"/>
      <c r="L222" s="173"/>
    </row>
    <row r="223" spans="1:12" ht="12.75">
      <c r="A223" s="176"/>
      <c r="B223" s="176"/>
      <c r="C223" s="176"/>
      <c r="D223" s="175"/>
      <c r="E223" s="173"/>
      <c r="F223" s="174"/>
      <c r="G223" s="173"/>
      <c r="H223" s="173"/>
      <c r="I223" s="173"/>
      <c r="J223" s="173"/>
      <c r="K223" s="173"/>
      <c r="L223" s="173"/>
    </row>
    <row r="224" spans="1:12" ht="12.75">
      <c r="A224" s="176"/>
      <c r="B224" s="176"/>
      <c r="C224" s="176"/>
      <c r="D224" s="175"/>
      <c r="E224" s="173"/>
      <c r="F224" s="174"/>
      <c r="G224" s="173"/>
      <c r="H224" s="173"/>
      <c r="I224" s="173"/>
      <c r="J224" s="173"/>
      <c r="K224" s="173"/>
      <c r="L224" s="173"/>
    </row>
    <row r="225" spans="1:12" ht="12.75">
      <c r="A225" s="176"/>
      <c r="B225" s="176"/>
      <c r="C225" s="176"/>
      <c r="D225" s="175"/>
      <c r="E225" s="173"/>
      <c r="F225" s="174"/>
      <c r="G225" s="173"/>
      <c r="H225" s="173"/>
      <c r="I225" s="173"/>
      <c r="J225" s="173"/>
      <c r="K225" s="173"/>
      <c r="L225" s="173"/>
    </row>
    <row r="226" spans="1:12" ht="12.75">
      <c r="A226" s="176"/>
      <c r="B226" s="176"/>
      <c r="C226" s="176"/>
      <c r="D226" s="175"/>
      <c r="E226" s="173"/>
      <c r="F226" s="174"/>
      <c r="G226" s="173"/>
      <c r="H226" s="173"/>
      <c r="I226" s="173"/>
      <c r="J226" s="173"/>
      <c r="K226" s="173"/>
      <c r="L226" s="173"/>
    </row>
    <row r="227" spans="1:12" ht="12.75">
      <c r="A227" s="176"/>
      <c r="B227" s="176"/>
      <c r="C227" s="176"/>
      <c r="D227" s="175"/>
      <c r="E227" s="173"/>
      <c r="F227" s="174"/>
      <c r="G227" s="173"/>
      <c r="H227" s="173"/>
      <c r="I227" s="173"/>
      <c r="J227" s="173"/>
      <c r="K227" s="173"/>
      <c r="L227" s="173"/>
    </row>
    <row r="228" spans="1:12" ht="12.75">
      <c r="A228" s="176"/>
      <c r="B228" s="176"/>
      <c r="C228" s="176"/>
      <c r="D228" s="175"/>
      <c r="E228" s="173"/>
      <c r="F228" s="174"/>
      <c r="G228" s="173"/>
      <c r="H228" s="173"/>
      <c r="I228" s="173"/>
      <c r="J228" s="173"/>
      <c r="K228" s="173"/>
      <c r="L228" s="173"/>
    </row>
    <row r="229" spans="1:12" ht="12.75">
      <c r="A229" s="176"/>
      <c r="B229" s="176"/>
      <c r="C229" s="176"/>
      <c r="D229" s="175"/>
      <c r="E229" s="173"/>
      <c r="F229" s="174"/>
      <c r="G229" s="173"/>
      <c r="H229" s="173"/>
      <c r="I229" s="173"/>
      <c r="J229" s="173"/>
      <c r="K229" s="173"/>
      <c r="L229" s="173"/>
    </row>
    <row r="230" spans="1:12" ht="12.75">
      <c r="A230" s="176"/>
      <c r="B230" s="176"/>
      <c r="C230" s="176"/>
      <c r="D230" s="175"/>
      <c r="E230" s="173"/>
      <c r="F230" s="174"/>
      <c r="G230" s="173"/>
      <c r="H230" s="173"/>
      <c r="I230" s="173"/>
      <c r="J230" s="173"/>
      <c r="K230" s="173"/>
      <c r="L230" s="173"/>
    </row>
    <row r="231" spans="1:12" ht="12.75">
      <c r="A231" s="176"/>
      <c r="B231" s="176"/>
      <c r="C231" s="176"/>
      <c r="D231" s="175"/>
      <c r="E231" s="173"/>
      <c r="F231" s="174"/>
      <c r="G231" s="173"/>
      <c r="H231" s="173"/>
      <c r="I231" s="173"/>
      <c r="J231" s="173"/>
      <c r="K231" s="173"/>
      <c r="L231" s="173"/>
    </row>
    <row r="232" spans="1:12" ht="12.75">
      <c r="A232" s="176"/>
      <c r="B232" s="176"/>
      <c r="C232" s="176"/>
      <c r="D232" s="175"/>
      <c r="E232" s="173"/>
      <c r="F232" s="174"/>
      <c r="G232" s="173"/>
      <c r="H232" s="173"/>
      <c r="I232" s="173"/>
      <c r="J232" s="173"/>
      <c r="K232" s="173"/>
      <c r="L232" s="173"/>
    </row>
    <row r="233" spans="1:12" ht="12.75">
      <c r="A233" s="176"/>
      <c r="B233" s="176"/>
      <c r="C233" s="176"/>
      <c r="D233" s="175"/>
      <c r="E233" s="173"/>
      <c r="F233" s="174"/>
      <c r="G233" s="173"/>
      <c r="H233" s="173"/>
      <c r="I233" s="173"/>
      <c r="J233" s="173"/>
      <c r="K233" s="173"/>
      <c r="L233" s="173"/>
    </row>
    <row r="234" spans="1:12" ht="12.75">
      <c r="A234" s="176"/>
      <c r="B234" s="176"/>
      <c r="C234" s="176"/>
      <c r="D234" s="175"/>
      <c r="E234" s="173"/>
      <c r="F234" s="174"/>
      <c r="G234" s="173"/>
      <c r="H234" s="173"/>
      <c r="I234" s="173"/>
      <c r="J234" s="173"/>
      <c r="K234" s="173"/>
      <c r="L234" s="173"/>
    </row>
    <row r="235" spans="1:12" ht="12.75">
      <c r="A235" s="176"/>
      <c r="B235" s="176"/>
      <c r="C235" s="176"/>
      <c r="D235" s="175"/>
      <c r="E235" s="173"/>
      <c r="F235" s="174"/>
      <c r="G235" s="173"/>
      <c r="H235" s="173"/>
      <c r="I235" s="173"/>
      <c r="J235" s="173"/>
      <c r="K235" s="173"/>
      <c r="L235" s="173"/>
    </row>
    <row r="236" spans="1:12" ht="12.75">
      <c r="A236" s="176"/>
      <c r="B236" s="176"/>
      <c r="C236" s="176"/>
      <c r="D236" s="175"/>
      <c r="E236" s="173"/>
      <c r="F236" s="174"/>
      <c r="G236" s="173"/>
      <c r="H236" s="173"/>
      <c r="I236" s="173"/>
      <c r="J236" s="173"/>
      <c r="K236" s="173"/>
      <c r="L236" s="173"/>
    </row>
    <row r="237" spans="1:12" ht="12.75">
      <c r="A237" s="176"/>
      <c r="B237" s="176"/>
      <c r="C237" s="176"/>
      <c r="D237" s="175"/>
      <c r="E237" s="173"/>
      <c r="F237" s="174"/>
      <c r="G237" s="173"/>
      <c r="H237" s="173"/>
      <c r="I237" s="173"/>
      <c r="J237" s="173"/>
      <c r="K237" s="173"/>
      <c r="L237" s="173"/>
    </row>
    <row r="238" spans="1:12" ht="12.75">
      <c r="A238" s="176"/>
      <c r="B238" s="176"/>
      <c r="C238" s="176"/>
      <c r="D238" s="175"/>
      <c r="E238" s="173"/>
      <c r="F238" s="174"/>
      <c r="G238" s="173"/>
      <c r="H238" s="173"/>
      <c r="I238" s="173"/>
      <c r="J238" s="173"/>
      <c r="K238" s="173"/>
      <c r="L238" s="173"/>
    </row>
    <row r="239" spans="1:12" ht="12.75">
      <c r="A239" s="176"/>
      <c r="B239" s="176"/>
      <c r="C239" s="176"/>
      <c r="D239" s="175"/>
      <c r="E239" s="173"/>
      <c r="F239" s="174"/>
      <c r="G239" s="173"/>
      <c r="H239" s="173"/>
      <c r="I239" s="173"/>
      <c r="J239" s="173"/>
      <c r="K239" s="173"/>
      <c r="L239" s="173"/>
    </row>
    <row r="240" spans="1:12" ht="12.75">
      <c r="A240" s="176"/>
      <c r="B240" s="176"/>
      <c r="C240" s="176"/>
      <c r="D240" s="175"/>
      <c r="E240" s="173"/>
      <c r="F240" s="174"/>
      <c r="G240" s="173"/>
      <c r="H240" s="173"/>
      <c r="I240" s="173"/>
      <c r="J240" s="173"/>
      <c r="K240" s="173"/>
      <c r="L240" s="173"/>
    </row>
    <row r="241" spans="1:12" ht="12.75">
      <c r="A241" s="176"/>
      <c r="B241" s="176"/>
      <c r="C241" s="176"/>
      <c r="D241" s="175"/>
      <c r="E241" s="173"/>
      <c r="F241" s="174"/>
      <c r="G241" s="173"/>
      <c r="H241" s="173"/>
      <c r="I241" s="173"/>
      <c r="J241" s="173"/>
      <c r="K241" s="173"/>
      <c r="L241" s="173"/>
    </row>
    <row r="242" spans="1:12" ht="12.75">
      <c r="A242" s="176"/>
      <c r="B242" s="176"/>
      <c r="C242" s="176"/>
      <c r="D242" s="175"/>
      <c r="E242" s="173"/>
      <c r="F242" s="174"/>
      <c r="G242" s="173"/>
      <c r="H242" s="173"/>
      <c r="I242" s="173"/>
      <c r="J242" s="173"/>
      <c r="K242" s="173"/>
      <c r="L242" s="173"/>
    </row>
    <row r="243" spans="1:12" ht="12.75">
      <c r="A243" s="176"/>
      <c r="B243" s="176"/>
      <c r="C243" s="176"/>
      <c r="D243" s="175"/>
      <c r="E243" s="173"/>
      <c r="F243" s="174"/>
      <c r="G243" s="173"/>
      <c r="H243" s="173"/>
      <c r="I243" s="173"/>
      <c r="J243" s="173"/>
      <c r="K243" s="173"/>
      <c r="L243" s="173"/>
    </row>
    <row r="244" spans="1:12" ht="12.75">
      <c r="A244" s="176"/>
      <c r="B244" s="176"/>
      <c r="C244" s="176"/>
      <c r="D244" s="175"/>
      <c r="E244" s="173"/>
      <c r="F244" s="174"/>
      <c r="G244" s="173"/>
      <c r="H244" s="173"/>
      <c r="I244" s="173"/>
      <c r="J244" s="173"/>
      <c r="K244" s="173"/>
      <c r="L244" s="173"/>
    </row>
    <row r="245" spans="1:12" ht="12.75">
      <c r="A245" s="176"/>
      <c r="B245" s="176"/>
      <c r="C245" s="176"/>
      <c r="D245" s="175"/>
      <c r="E245" s="173"/>
      <c r="F245" s="174"/>
      <c r="G245" s="173"/>
      <c r="H245" s="173"/>
      <c r="I245" s="173"/>
      <c r="J245" s="173"/>
      <c r="K245" s="173"/>
      <c r="L245" s="173"/>
    </row>
    <row r="246" spans="1:12" ht="12.75">
      <c r="A246" s="176"/>
      <c r="B246" s="176"/>
      <c r="C246" s="176"/>
      <c r="D246" s="175"/>
      <c r="E246" s="173"/>
      <c r="F246" s="174"/>
      <c r="G246" s="173"/>
      <c r="H246" s="173"/>
      <c r="I246" s="173"/>
      <c r="J246" s="173"/>
      <c r="K246" s="173"/>
      <c r="L246" s="173"/>
    </row>
    <row r="247" spans="1:12" ht="12.75">
      <c r="A247" s="176"/>
      <c r="B247" s="176"/>
      <c r="C247" s="176"/>
      <c r="D247" s="175"/>
      <c r="E247" s="173"/>
      <c r="F247" s="174"/>
      <c r="G247" s="173"/>
      <c r="H247" s="173"/>
      <c r="I247" s="173"/>
      <c r="J247" s="173"/>
      <c r="K247" s="173"/>
      <c r="L247" s="173"/>
    </row>
  </sheetData>
  <sheetProtection/>
  <dataValidations count="3">
    <dataValidation type="list" allowBlank="1" showInputMessage="1" showErrorMessage="1" sqref="I47:I48 F42 B11 E27">
      <formula1>Tray_type_Paper</formula1>
    </dataValidation>
    <dataValidation allowBlank="1" showInputMessage="1" showErrorMessage="1" sqref="D36 D41"/>
    <dataValidation type="list" allowBlank="1" showInputMessage="1" showErrorMessage="1" sqref="B12">
      <formula1>Alternative_Paper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portrait" scale="72" r:id="rId1"/>
  <headerFooter alignWithMargins="0">
    <oddFooter>&amp;L&amp;F&amp;RPrepared:  September 30, 2009</oddFooter>
  </headerFooter>
</worksheet>
</file>

<file path=xl/worksheets/sheet4.xml><?xml version="1.0" encoding="utf-8"?>
<worksheet xmlns="http://schemas.openxmlformats.org/spreadsheetml/2006/main" xmlns:r="http://schemas.openxmlformats.org/officeDocument/2006/relationships">
  <sheetPr codeName="Sheet15">
    <tabColor rgb="FF0070C0"/>
    <pageSetUpPr fitToPage="1"/>
  </sheetPr>
  <dimension ref="A1:K37"/>
  <sheetViews>
    <sheetView zoomScalePageLayoutView="0" workbookViewId="0" topLeftCell="A1">
      <selection activeCell="C10" sqref="C10"/>
    </sheetView>
  </sheetViews>
  <sheetFormatPr defaultColWidth="9.140625" defaultRowHeight="12.75"/>
  <cols>
    <col min="1" max="1" width="65.421875" style="172" customWidth="1"/>
    <col min="2" max="3" width="20.140625" style="172" customWidth="1"/>
    <col min="4" max="4" width="20.140625" style="171" customWidth="1"/>
    <col min="5" max="5" width="20.140625" style="169" customWidth="1"/>
    <col min="6" max="6" width="9.140625" style="170" customWidth="1"/>
    <col min="7" max="16384" width="9.140625" style="169" customWidth="1"/>
  </cols>
  <sheetData>
    <row r="1" ht="15.75">
      <c r="A1" s="266" t="s">
        <v>735</v>
      </c>
    </row>
    <row r="2" ht="12.75">
      <c r="A2" s="1071" t="s">
        <v>916</v>
      </c>
    </row>
    <row r="3" ht="12.75"/>
    <row r="4" ht="12.75">
      <c r="A4" s="293" t="s">
        <v>715</v>
      </c>
    </row>
    <row r="5" spans="1:11" ht="12.75">
      <c r="A5" s="265" t="s">
        <v>711</v>
      </c>
      <c r="B5" s="264"/>
      <c r="C5" s="176"/>
      <c r="D5" s="175"/>
      <c r="E5" s="173"/>
      <c r="F5" s="174"/>
      <c r="G5" s="173"/>
      <c r="H5" s="173"/>
      <c r="I5" s="173"/>
      <c r="J5" s="173"/>
      <c r="K5" s="173"/>
    </row>
    <row r="6" spans="1:11" ht="12.75">
      <c r="A6" s="265" t="s">
        <v>710</v>
      </c>
      <c r="B6" s="264"/>
      <c r="C6" s="176"/>
      <c r="D6" s="175"/>
      <c r="E6" s="173"/>
      <c r="F6" s="174"/>
      <c r="G6" s="173"/>
      <c r="H6" s="173"/>
      <c r="I6" s="173"/>
      <c r="J6" s="173"/>
      <c r="K6" s="173"/>
    </row>
    <row r="7" spans="1:11" ht="12.75">
      <c r="A7" s="176"/>
      <c r="B7" s="263"/>
      <c r="C7" s="257" t="s">
        <v>733</v>
      </c>
      <c r="D7" s="283" t="str">
        <f>Conversions!B137</f>
        <v>y = 0.01x - 0.2</v>
      </c>
      <c r="E7" s="173"/>
      <c r="F7" s="174"/>
      <c r="G7" s="173"/>
      <c r="H7" s="173"/>
      <c r="I7" s="173"/>
      <c r="J7" s="173"/>
      <c r="K7" s="173"/>
    </row>
    <row r="8" spans="1:11" ht="12.75">
      <c r="A8" s="282" t="s">
        <v>732</v>
      </c>
      <c r="B8" s="281">
        <v>4</v>
      </c>
      <c r="C8" s="259"/>
      <c r="D8" s="175"/>
      <c r="E8" s="173"/>
      <c r="F8" s="174"/>
      <c r="G8" s="173"/>
      <c r="H8" s="173"/>
      <c r="I8" s="173"/>
      <c r="J8" s="173"/>
      <c r="K8" s="173"/>
    </row>
    <row r="9" spans="1:11" ht="12.75">
      <c r="A9" s="257"/>
      <c r="B9" s="264"/>
      <c r="C9" s="176"/>
      <c r="D9" s="175"/>
      <c r="E9" s="173"/>
      <c r="F9" s="174"/>
      <c r="G9" s="173"/>
      <c r="H9" s="173"/>
      <c r="I9" s="173"/>
      <c r="J9" s="173"/>
      <c r="K9" s="173"/>
    </row>
    <row r="10" spans="1:11" ht="12.75">
      <c r="A10" s="280" t="s">
        <v>731</v>
      </c>
      <c r="B10" s="1153" t="s">
        <v>730</v>
      </c>
      <c r="C10" s="176"/>
      <c r="D10" s="175"/>
      <c r="E10" s="173"/>
      <c r="F10" s="174"/>
      <c r="G10" s="173"/>
      <c r="H10" s="173"/>
      <c r="I10" s="173"/>
      <c r="J10" s="173"/>
      <c r="K10" s="173"/>
    </row>
    <row r="11" spans="1:11" ht="12.75">
      <c r="A11" s="279" t="s">
        <v>729</v>
      </c>
      <c r="B11" s="1154" t="s">
        <v>780</v>
      </c>
      <c r="C11" s="176"/>
      <c r="D11" s="175"/>
      <c r="E11" s="173"/>
      <c r="F11" s="174"/>
      <c r="G11" s="173"/>
      <c r="H11" s="173"/>
      <c r="I11" s="173"/>
      <c r="J11" s="173"/>
      <c r="K11" s="173"/>
    </row>
    <row r="12" spans="1:11" ht="12.75">
      <c r="A12" s="176"/>
      <c r="B12" s="176"/>
      <c r="C12" s="176"/>
      <c r="D12" s="175"/>
      <c r="E12" s="173"/>
      <c r="F12" s="174"/>
      <c r="G12" s="173"/>
      <c r="H12" s="173"/>
      <c r="I12" s="173"/>
      <c r="J12" s="173"/>
      <c r="K12" s="173"/>
    </row>
    <row r="13" spans="1:11" ht="12.75">
      <c r="A13" s="179" t="s">
        <v>727</v>
      </c>
      <c r="B13" s="253">
        <f>IF('Basic School Info'!B8="",B8*Conversions!B81,B8*'Basic School Info'!B8)</f>
        <v>700</v>
      </c>
      <c r="C13" s="278" t="s">
        <v>725</v>
      </c>
      <c r="D13" s="175"/>
      <c r="E13" s="173"/>
      <c r="F13" s="174"/>
      <c r="G13" s="173"/>
      <c r="H13" s="173"/>
      <c r="I13" s="173"/>
      <c r="J13" s="173"/>
      <c r="K13" s="173"/>
    </row>
    <row r="14" spans="1:11" ht="12.75">
      <c r="A14" s="277" t="s">
        <v>726</v>
      </c>
      <c r="B14" s="276">
        <f>B13*'Basic School Info'!B6</f>
        <v>280000</v>
      </c>
      <c r="C14" s="250" t="s">
        <v>725</v>
      </c>
      <c r="D14" s="175"/>
      <c r="E14" s="173"/>
      <c r="F14" s="174"/>
      <c r="G14" s="173"/>
      <c r="H14" s="173"/>
      <c r="I14" s="173"/>
      <c r="J14" s="173"/>
      <c r="K14" s="173"/>
    </row>
    <row r="15" spans="1:11" ht="12.75">
      <c r="A15" s="277" t="s">
        <v>724</v>
      </c>
      <c r="B15" s="276">
        <f>B14/500/10</f>
        <v>56</v>
      </c>
      <c r="C15" s="250" t="s">
        <v>723</v>
      </c>
      <c r="D15" s="175"/>
      <c r="E15" s="173"/>
      <c r="F15" s="174"/>
      <c r="G15" s="173"/>
      <c r="H15" s="173"/>
      <c r="I15" s="173"/>
      <c r="J15" s="173"/>
      <c r="K15" s="173"/>
    </row>
    <row r="16" spans="1:11" ht="12.75">
      <c r="A16" s="275" t="s">
        <v>722</v>
      </c>
      <c r="B16" s="248">
        <f>B15*Conversions!B83</f>
        <v>2800</v>
      </c>
      <c r="C16" s="247" t="s">
        <v>454</v>
      </c>
      <c r="D16" s="175"/>
      <c r="E16" s="173"/>
      <c r="F16" s="174"/>
      <c r="G16" s="173"/>
      <c r="H16" s="173"/>
      <c r="I16" s="173"/>
      <c r="J16" s="173"/>
      <c r="K16" s="173"/>
    </row>
    <row r="17" spans="1:11" ht="12.75">
      <c r="A17" s="176"/>
      <c r="B17" s="176"/>
      <c r="C17" s="176"/>
      <c r="D17" s="173"/>
      <c r="E17" s="175"/>
      <c r="F17" s="174"/>
      <c r="G17" s="173"/>
      <c r="H17" s="173"/>
      <c r="I17" s="173"/>
      <c r="J17" s="173"/>
      <c r="K17" s="173"/>
    </row>
    <row r="18" spans="1:11" ht="12.75">
      <c r="A18" s="183" t="s">
        <v>721</v>
      </c>
      <c r="B18" s="176"/>
      <c r="C18" s="176"/>
      <c r="D18" s="173"/>
      <c r="E18" s="175"/>
      <c r="F18" s="174"/>
      <c r="G18" s="173"/>
      <c r="H18" s="173"/>
      <c r="I18" s="173"/>
      <c r="J18" s="173"/>
      <c r="K18" s="173"/>
    </row>
    <row r="19" spans="1:11" ht="12.75">
      <c r="A19" s="1113"/>
      <c r="B19" s="1118" t="s">
        <v>493</v>
      </c>
      <c r="C19" s="1116" t="s">
        <v>692</v>
      </c>
      <c r="D19" s="1118" t="s">
        <v>494</v>
      </c>
      <c r="E19" s="1120" t="s">
        <v>499</v>
      </c>
      <c r="F19" s="174"/>
      <c r="G19" s="173"/>
      <c r="H19" s="173"/>
      <c r="I19" s="173"/>
      <c r="J19" s="173"/>
      <c r="K19" s="173"/>
    </row>
    <row r="20" spans="1:11" ht="12.75">
      <c r="A20" s="1113" t="s">
        <v>720</v>
      </c>
      <c r="B20" s="1118">
        <f>$B$16*Conversions!B34</f>
        <v>12308.413679922634</v>
      </c>
      <c r="C20" s="1118">
        <f>$B$16*Conversions!C34</f>
        <v>8234.8</v>
      </c>
      <c r="D20" s="1118">
        <f>$B$16*Conversions!D34</f>
        <v>31106.600000000002</v>
      </c>
      <c r="E20" s="1118">
        <f>$B$16*Conversions!E34</f>
        <v>11200</v>
      </c>
      <c r="F20" s="174"/>
      <c r="G20" s="173"/>
      <c r="H20" s="173"/>
      <c r="I20" s="173"/>
      <c r="J20" s="173"/>
      <c r="K20" s="173"/>
    </row>
    <row r="21" spans="1:11" ht="12.75">
      <c r="A21" s="1115" t="s">
        <v>719</v>
      </c>
      <c r="B21" s="1125">
        <f>$B$16*Conversions!B35</f>
        <v>11077.57231193037</v>
      </c>
      <c r="C21" s="1118">
        <f>$B$16*Conversions!C35</f>
        <v>7201.6</v>
      </c>
      <c r="D21" s="1123">
        <f>$B$16*Conversions!D35</f>
        <v>26131</v>
      </c>
      <c r="E21" s="1122">
        <f>$B$16*Conversions!E35</f>
        <v>8400</v>
      </c>
      <c r="F21" s="174"/>
      <c r="G21" s="173"/>
      <c r="H21" s="173"/>
      <c r="I21" s="173"/>
      <c r="J21" s="173"/>
      <c r="K21" s="173"/>
    </row>
    <row r="22" spans="1:11" ht="12.75">
      <c r="A22" s="1115" t="s">
        <v>718</v>
      </c>
      <c r="B22" s="1125">
        <f>$B$16*Conversions!B36</f>
        <v>9026.170031943264</v>
      </c>
      <c r="C22" s="1124">
        <f>$B$16*Conversions!C36</f>
        <v>4790.8</v>
      </c>
      <c r="D22" s="1118">
        <f>$B$16*Conversions!D36</f>
        <v>14520.8</v>
      </c>
      <c r="E22" s="1118">
        <f>$B$16*Conversions!E36</f>
        <v>0</v>
      </c>
      <c r="F22" s="174"/>
      <c r="G22" s="173"/>
      <c r="H22" s="173"/>
      <c r="I22" s="173"/>
      <c r="J22" s="173"/>
      <c r="K22" s="173"/>
    </row>
    <row r="23" spans="1:11" ht="14.25" customHeight="1">
      <c r="A23" s="1140" t="s">
        <v>683</v>
      </c>
      <c r="B23" s="1141" t="str">
        <f>$B$10</f>
        <v>Virgin</v>
      </c>
      <c r="C23" s="1143" t="s">
        <v>682</v>
      </c>
      <c r="D23" s="1148" t="str">
        <f>B11</f>
        <v>30% recycled content</v>
      </c>
      <c r="E23" s="1147"/>
      <c r="F23" s="174"/>
      <c r="G23" s="173"/>
      <c r="H23" s="173"/>
      <c r="I23" s="173"/>
      <c r="J23" s="173"/>
      <c r="K23" s="173"/>
    </row>
    <row r="24" spans="1:11" ht="12" customHeight="1">
      <c r="A24" s="1146" t="str">
        <f>CONCATENATE(B10," to ",B11)</f>
        <v>Virgin to 30% recycled content</v>
      </c>
      <c r="B24" s="1144"/>
      <c r="C24" s="1142"/>
      <c r="D24" s="1145"/>
      <c r="E24" s="1149"/>
      <c r="F24" s="174"/>
      <c r="G24" s="173"/>
      <c r="H24" s="173"/>
      <c r="I24" s="173"/>
      <c r="J24" s="173"/>
      <c r="K24" s="173"/>
    </row>
    <row r="25" spans="1:11" ht="12.75">
      <c r="A25" s="1139"/>
      <c r="B25" s="1113" t="s">
        <v>493</v>
      </c>
      <c r="C25" s="285" t="s">
        <v>692</v>
      </c>
      <c r="D25" s="1113" t="s">
        <v>494</v>
      </c>
      <c r="E25" s="1120" t="s">
        <v>499</v>
      </c>
      <c r="F25" s="174"/>
      <c r="G25" s="173"/>
      <c r="H25" s="173"/>
      <c r="I25" s="173"/>
      <c r="J25" s="173"/>
      <c r="K25" s="173"/>
    </row>
    <row r="26" spans="1:11" ht="12.75">
      <c r="A26" s="1114" t="s">
        <v>383</v>
      </c>
      <c r="B26" s="1119">
        <f>IF(AND($B$23="30% recycled content",$D$23="100% recycled content"),B21-B22,IF(AND($B$23="30% recycled content",$D$23="Virgin"),B21-B20,IF(AND($B$23="Virgin",$D$23="30% recycled content"),B20-B21,IF(AND($B$23="Virgin",$D$23="100% recycled content"),B20-B22,IF(AND($B$23="100% recycled content",$D$23="30% recycled content"),B22-B21,IF(AND($B$23="100% recycled content",$D$23="Virgin"),B22-B20,"no change"))))))</f>
        <v>1230.841367992265</v>
      </c>
      <c r="C26" s="1117">
        <f>IF(AND($B$23="30% recycled content",$D$23="100% recycled content"),C21-C22,IF(AND($B$23="30% recycled content",$D$23="Virgin"),C21-C20,IF(AND($B$23="Virgin",$D$23="30% recycled content"),C20-C21,IF(AND($B$23="Virgin",$D$23="100% recycled content"),C20-C22,IF(AND($B$23="100% recycled content",$D$23="30% recycled content"),C22-C21,IF(AND($B$23="100% recycled content",$D$23="Virgin"),C22-C20,"no change"))))))</f>
        <v>1033.199999999999</v>
      </c>
      <c r="D26" s="1119">
        <f>IF(AND($B$23="30% recycled content",$D$23="100% recycled content"),D21-D22,IF(AND($B$23="30% recycled content",$D$23="Virgin"),D21-D20,IF(AND($B$23="Virgin",$D$23="30% recycled content"),D20-D21,IF(AND($B$23="Virgin",$D$23="100% recycled content"),D20-D22,IF(AND($B$23="100% recycled content",$D$23="30% recycled content"),D22-D21,IF(AND($B$23="100% recycled content",$D$23="Virgin"),D22-D20,"no change"))))))</f>
        <v>4975.600000000002</v>
      </c>
      <c r="E26" s="1121">
        <f>IF(AND($B$23="30% recycled content",$D$23="100% recycled content"),E21-E22,IF(AND($B$23="30% recycled content",$D$23="Virgin"),E21-E20,IF(AND($B$23="Virgin",$D$23="30% recycled content"),E20-E21,IF(AND($B$23="Virgin",$D$23="100% recycled content"),E20-E22,IF(AND($B$23="100% recycled content",$D$23="30% recycled content"),E22-E21,IF(AND($B$23="100% recycled content",$D$23="Virgin"),E22-E20,"no change"))))))</f>
        <v>2800</v>
      </c>
      <c r="F26" s="174"/>
      <c r="G26" s="173"/>
      <c r="H26" s="173"/>
      <c r="I26" s="173"/>
      <c r="J26" s="173"/>
      <c r="K26" s="173"/>
    </row>
    <row r="27" spans="1:11" ht="12.75">
      <c r="A27" s="1214" t="s">
        <v>1049</v>
      </c>
      <c r="B27" s="1214"/>
      <c r="C27" s="1214">
        <f>C26/(5.23*2000)</f>
        <v>0.09877629063097504</v>
      </c>
      <c r="D27" s="1214" t="s">
        <v>1048</v>
      </c>
      <c r="E27" s="176"/>
      <c r="F27" s="174"/>
      <c r="G27" s="173"/>
      <c r="H27" s="173"/>
      <c r="I27" s="173"/>
      <c r="J27" s="173"/>
      <c r="K27" s="173"/>
    </row>
    <row r="28" spans="1:11" ht="12.75">
      <c r="A28" s="176"/>
      <c r="B28" s="176"/>
      <c r="C28" s="176"/>
      <c r="D28" s="175"/>
      <c r="E28" s="173"/>
      <c r="F28" s="174"/>
      <c r="G28" s="173"/>
      <c r="H28" s="173"/>
      <c r="I28" s="173"/>
      <c r="J28" s="173"/>
      <c r="K28" s="173"/>
    </row>
    <row r="29" spans="1:11" ht="12.75">
      <c r="A29" s="183" t="s">
        <v>717</v>
      </c>
      <c r="B29" s="176"/>
      <c r="C29" s="176"/>
      <c r="D29" s="175"/>
      <c r="E29" s="173"/>
      <c r="F29" s="174"/>
      <c r="G29" s="173"/>
      <c r="H29" s="173"/>
      <c r="I29" s="173"/>
      <c r="J29" s="173"/>
      <c r="K29" s="173"/>
    </row>
    <row r="30" spans="1:11" ht="12.75">
      <c r="A30" s="191" t="str">
        <f>B10</f>
        <v>Virgin</v>
      </c>
      <c r="B30" s="190">
        <f>IF(A30="Virgin",$B$15*Conversions!$B$75,IF(A30="30% recycled content",$B$15*Conversions!$B$76,$B$15*Conversions!$B$77))</f>
        <v>2296</v>
      </c>
      <c r="C30" s="176"/>
      <c r="D30" s="175"/>
      <c r="E30" s="173"/>
      <c r="F30" s="174"/>
      <c r="G30" s="173"/>
      <c r="H30" s="173"/>
      <c r="I30" s="173"/>
      <c r="J30" s="173"/>
      <c r="K30" s="173"/>
    </row>
    <row r="31" spans="1:11" ht="12.75">
      <c r="A31" s="189" t="str">
        <f>B11</f>
        <v>30% recycled content</v>
      </c>
      <c r="B31" s="188">
        <f>IF(A31="Virgin",$B$15*Conversions!$B$75,IF(A31="30% recycled content",$B$15*Conversions!$B$76,$B$15*Conversions!$B$77))</f>
        <v>2565.36</v>
      </c>
      <c r="C31" s="176"/>
      <c r="D31" s="175"/>
      <c r="E31" s="173"/>
      <c r="F31" s="174"/>
      <c r="G31" s="180"/>
      <c r="H31" s="185"/>
      <c r="I31" s="184"/>
      <c r="J31" s="173"/>
      <c r="K31" s="173"/>
    </row>
    <row r="32" spans="1:11" ht="38.25">
      <c r="A32" s="269" t="s">
        <v>453</v>
      </c>
      <c r="B32" s="268">
        <f>B31-B30</f>
        <v>269.3600000000001</v>
      </c>
      <c r="C32" s="186" t="str">
        <f>IF(B32&gt;0,"Additional Cost","Savings")</f>
        <v>Additional Cost</v>
      </c>
      <c r="D32" s="931" t="s">
        <v>324</v>
      </c>
      <c r="E32" s="173"/>
      <c r="F32" s="174"/>
      <c r="G32" s="180"/>
      <c r="H32" s="185"/>
      <c r="I32" s="184"/>
      <c r="J32" s="173"/>
      <c r="K32" s="173"/>
    </row>
    <row r="33" spans="1:11" ht="12.75">
      <c r="A33" s="267"/>
      <c r="B33" s="176"/>
      <c r="C33" s="176"/>
      <c r="D33" s="175"/>
      <c r="E33" s="173"/>
      <c r="F33" s="174"/>
      <c r="G33" s="173"/>
      <c r="H33" s="173"/>
      <c r="I33" s="173"/>
      <c r="J33" s="173"/>
      <c r="K33" s="173"/>
    </row>
    <row r="34" spans="1:11" ht="12.75">
      <c r="A34" s="176"/>
      <c r="B34" s="176"/>
      <c r="C34" s="176"/>
      <c r="D34" s="175"/>
      <c r="E34" s="173"/>
      <c r="F34" s="174"/>
      <c r="G34" s="173"/>
      <c r="H34" s="173"/>
      <c r="I34" s="173"/>
      <c r="J34" s="173"/>
      <c r="K34" s="173"/>
    </row>
    <row r="35" spans="1:11" ht="12.75">
      <c r="A35" s="176"/>
      <c r="B35" s="176"/>
      <c r="C35" s="176"/>
      <c r="D35" s="175"/>
      <c r="E35" s="173"/>
      <c r="F35" s="174"/>
      <c r="G35" s="173"/>
      <c r="H35" s="173"/>
      <c r="I35" s="173"/>
      <c r="J35" s="173"/>
      <c r="K35" s="173"/>
    </row>
    <row r="36" spans="1:11" ht="12.75">
      <c r="A36" s="176"/>
      <c r="B36" s="176"/>
      <c r="C36" s="176"/>
      <c r="D36" s="175"/>
      <c r="E36" s="173"/>
      <c r="F36" s="174"/>
      <c r="G36" s="173"/>
      <c r="H36" s="173"/>
      <c r="I36" s="173"/>
      <c r="J36" s="173"/>
      <c r="K36" s="173"/>
    </row>
    <row r="37" spans="1:11" ht="12.75">
      <c r="A37" s="176"/>
      <c r="B37" s="176"/>
      <c r="C37" s="176"/>
      <c r="D37" s="175"/>
      <c r="E37" s="173"/>
      <c r="F37" s="174"/>
      <c r="G37" s="173"/>
      <c r="H37" s="173"/>
      <c r="I37" s="173"/>
      <c r="J37" s="173"/>
      <c r="K37" s="173"/>
    </row>
  </sheetData>
  <sheetProtection/>
  <dataValidations count="2">
    <dataValidation type="list" allowBlank="1" showInputMessage="1" showErrorMessage="1" sqref="I31:I32">
      <formula1>Tray_type_Paper</formula1>
    </dataValidation>
    <dataValidation type="list" allowBlank="1" showInputMessage="1" showErrorMessage="1" sqref="B10:B11">
      <formula1>Paper_type_Paper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82" r:id="rId1"/>
  <headerFooter alignWithMargins="0">
    <oddFooter>&amp;L&amp;F&amp;RPrepared:  September 30, 2009</oddFooter>
  </headerFooter>
</worksheet>
</file>

<file path=xl/worksheets/sheet5.xml><?xml version="1.0" encoding="utf-8"?>
<worksheet xmlns="http://schemas.openxmlformats.org/spreadsheetml/2006/main" xmlns:r="http://schemas.openxmlformats.org/officeDocument/2006/relationships">
  <sheetPr codeName="Sheet16">
    <tabColor rgb="FF009999"/>
    <pageSetUpPr fitToPage="1"/>
  </sheetPr>
  <dimension ref="A1:H37"/>
  <sheetViews>
    <sheetView zoomScalePageLayoutView="0" workbookViewId="0" topLeftCell="A1">
      <selection activeCell="A2" sqref="A2"/>
    </sheetView>
  </sheetViews>
  <sheetFormatPr defaultColWidth="9.140625" defaultRowHeight="12.75"/>
  <cols>
    <col min="1" max="1" width="67.28125" style="172" customWidth="1"/>
    <col min="2" max="2" width="17.8515625" style="172" customWidth="1"/>
    <col min="3" max="3" width="20.8515625" style="172" customWidth="1"/>
    <col min="4" max="4" width="25.421875" style="171" customWidth="1"/>
    <col min="5" max="5" width="27.421875" style="169" bestFit="1" customWidth="1"/>
    <col min="6" max="6" width="9.140625" style="170" customWidth="1"/>
    <col min="7" max="16384" width="9.140625" style="169" customWidth="1"/>
  </cols>
  <sheetData>
    <row r="1" spans="1:6" ht="15.75">
      <c r="A1" s="266" t="s">
        <v>753</v>
      </c>
      <c r="F1" s="169"/>
    </row>
    <row r="2" spans="1:6" ht="12.75">
      <c r="A2" s="1071" t="s">
        <v>916</v>
      </c>
      <c r="F2" s="169"/>
    </row>
    <row r="3" spans="1:6" ht="12.75">
      <c r="A3" s="1071"/>
      <c r="F3" s="169"/>
    </row>
    <row r="4" spans="1:6" ht="12.75">
      <c r="A4" s="1112" t="s">
        <v>715</v>
      </c>
      <c r="B4" s="1041"/>
      <c r="C4" s="1041"/>
      <c r="F4" s="169"/>
    </row>
    <row r="5" spans="1:6" ht="12.75">
      <c r="A5" s="1111" t="s">
        <v>325</v>
      </c>
      <c r="B5" s="1041"/>
      <c r="C5" s="1041"/>
      <c r="F5" s="169"/>
    </row>
    <row r="6" spans="1:6" ht="12.75">
      <c r="A6" s="295" t="s">
        <v>752</v>
      </c>
      <c r="B6" s="1041"/>
      <c r="C6" s="1041"/>
      <c r="F6" s="169"/>
    </row>
    <row r="7" spans="1:6" ht="12.75">
      <c r="A7" s="183" t="s">
        <v>751</v>
      </c>
      <c r="B7" s="1041"/>
      <c r="C7" s="1041"/>
      <c r="F7" s="169"/>
    </row>
    <row r="8" spans="1:6" ht="31.5" customHeight="1">
      <c r="A8" s="1053" t="s">
        <v>750</v>
      </c>
      <c r="B8" s="1043">
        <v>0.33</v>
      </c>
      <c r="C8" s="1038"/>
      <c r="D8" s="175"/>
      <c r="E8" s="173"/>
      <c r="F8" s="169"/>
    </row>
    <row r="9" spans="1:6" ht="12.75">
      <c r="A9" s="1046"/>
      <c r="B9" s="1044">
        <f>B8*'Basic School Info'!B6</f>
        <v>132</v>
      </c>
      <c r="C9" s="1045" t="s">
        <v>749</v>
      </c>
      <c r="D9" s="175"/>
      <c r="E9" s="173"/>
      <c r="F9" s="169"/>
    </row>
    <row r="10" spans="1:6" ht="12.75">
      <c r="A10" s="183" t="s">
        <v>748</v>
      </c>
      <c r="B10" s="265"/>
      <c r="C10" s="265"/>
      <c r="D10" s="175"/>
      <c r="E10" s="173"/>
      <c r="F10" s="169"/>
    </row>
    <row r="11" spans="1:6" ht="12.75">
      <c r="A11" s="1040" t="s">
        <v>747</v>
      </c>
      <c r="B11" s="1035">
        <v>180</v>
      </c>
      <c r="C11" s="1036"/>
      <c r="D11" s="175"/>
      <c r="E11" s="173"/>
      <c r="F11" s="169"/>
    </row>
    <row r="12" spans="1:6" ht="12.75">
      <c r="A12" s="1039" t="s">
        <v>746</v>
      </c>
      <c r="B12" s="1037">
        <f>1/(B11/'Basic School Info'!B6)</f>
        <v>2.2222222222222223</v>
      </c>
      <c r="C12" s="1038" t="s">
        <v>745</v>
      </c>
      <c r="D12" s="175"/>
      <c r="E12" s="173"/>
      <c r="F12" s="169"/>
    </row>
    <row r="13" spans="1:6" ht="12.75">
      <c r="A13" s="1039" t="s">
        <v>744</v>
      </c>
      <c r="B13" s="1037">
        <f>B11/'Basic School Info'!B6</f>
        <v>0.45</v>
      </c>
      <c r="C13" s="1038" t="s">
        <v>741</v>
      </c>
      <c r="D13" s="175"/>
      <c r="E13" s="173"/>
      <c r="F13" s="169"/>
    </row>
    <row r="14" spans="1:6" ht="12.75">
      <c r="A14" s="1046"/>
      <c r="B14" s="1047"/>
      <c r="C14" s="1045"/>
      <c r="D14" s="175"/>
      <c r="E14" s="173"/>
      <c r="F14" s="169"/>
    </row>
    <row r="15" spans="1:6" ht="12.75">
      <c r="A15" s="1048"/>
      <c r="B15" s="1049"/>
      <c r="C15" s="265"/>
      <c r="D15" s="175"/>
      <c r="E15" s="173"/>
      <c r="F15" s="169"/>
    </row>
    <row r="16" spans="1:6" ht="25.5">
      <c r="A16" s="1050" t="s">
        <v>914</v>
      </c>
      <c r="B16" s="1155" t="s">
        <v>743</v>
      </c>
      <c r="C16" s="265"/>
      <c r="D16" s="175"/>
      <c r="E16" s="173"/>
      <c r="F16" s="169"/>
    </row>
    <row r="17" spans="1:6" ht="12.75">
      <c r="A17" s="265"/>
      <c r="B17" s="265"/>
      <c r="C17" s="265"/>
      <c r="D17" s="175"/>
      <c r="E17" s="173"/>
      <c r="F17" s="169"/>
    </row>
    <row r="18" spans="1:5" ht="12.75">
      <c r="A18" s="1040" t="s">
        <v>742</v>
      </c>
      <c r="B18" s="1051">
        <f>IF(B16="Estimated",B9*Conversions!B81,B11*Conversions!B81)</f>
        <v>23100</v>
      </c>
      <c r="C18" s="1042" t="s">
        <v>741</v>
      </c>
      <c r="D18" s="175"/>
      <c r="E18" s="173"/>
    </row>
    <row r="19" spans="1:5" ht="12.75">
      <c r="A19" s="1046" t="s">
        <v>740</v>
      </c>
      <c r="B19" s="1052">
        <f>B18/Conversions!B89</f>
        <v>721.875</v>
      </c>
      <c r="C19" s="1045" t="s">
        <v>739</v>
      </c>
      <c r="D19" s="175"/>
      <c r="E19" s="173"/>
    </row>
    <row r="20" spans="1:5" ht="15.75">
      <c r="A20" s="289"/>
      <c r="B20" s="176"/>
      <c r="C20" s="176"/>
      <c r="D20" s="175"/>
      <c r="E20" s="173"/>
    </row>
    <row r="21" spans="1:5" ht="12.75">
      <c r="A21" s="183" t="s">
        <v>738</v>
      </c>
      <c r="B21" s="176"/>
      <c r="C21" s="176"/>
      <c r="D21" s="173"/>
      <c r="E21" s="175"/>
    </row>
    <row r="22" spans="1:5" ht="12.75">
      <c r="A22" s="234"/>
      <c r="B22" s="272" t="s">
        <v>328</v>
      </c>
      <c r="C22" s="273" t="s">
        <v>326</v>
      </c>
      <c r="D22" s="273" t="s">
        <v>327</v>
      </c>
      <c r="E22" s="173"/>
    </row>
    <row r="23" spans="1:5" ht="12.75">
      <c r="A23" s="288" t="str">
        <f>CONCATENATE("Recycling ",B19," lbs of aluminum cans is equivalent to:")</f>
        <v>Recycling 721.875 lbs of aluminum cans is equivalent to:</v>
      </c>
      <c r="B23" s="270">
        <f>B19/2000*Conversions!B95</f>
        <v>606.375</v>
      </c>
      <c r="C23" s="271">
        <f>B19/2000*Conversions!B94</f>
        <v>5053.125</v>
      </c>
      <c r="D23" s="271">
        <f>C23*Conversions!B2</f>
        <v>6887.409375</v>
      </c>
      <c r="E23" s="173"/>
    </row>
    <row r="24" spans="1:8" ht="12.75">
      <c r="A24" s="176"/>
      <c r="B24" s="176"/>
      <c r="C24" s="176"/>
      <c r="D24" s="176"/>
      <c r="E24" s="176"/>
      <c r="F24" s="174"/>
      <c r="G24" s="173"/>
      <c r="H24" s="173"/>
    </row>
    <row r="25" spans="1:8" ht="12.75">
      <c r="A25" s="287" t="s">
        <v>737</v>
      </c>
      <c r="B25" s="286">
        <f>B18*Conversions!B92/24/365</f>
        <v>7.910958904109589</v>
      </c>
      <c r="C25" s="285" t="s">
        <v>736</v>
      </c>
      <c r="D25" s="175"/>
      <c r="E25" s="173"/>
      <c r="F25" s="174"/>
      <c r="G25" s="173"/>
      <c r="H25" s="173"/>
    </row>
    <row r="26" spans="1:5" ht="12.75">
      <c r="A26" s="176"/>
      <c r="B26" s="176"/>
      <c r="C26" s="176"/>
      <c r="D26" s="175"/>
      <c r="E26" s="173"/>
    </row>
    <row r="27" spans="1:5" ht="12.75">
      <c r="A27" s="176"/>
      <c r="B27" s="284"/>
      <c r="C27" s="176"/>
      <c r="D27" s="175"/>
      <c r="E27" s="173"/>
    </row>
    <row r="28" spans="1:5" ht="12.75">
      <c r="A28" s="176"/>
      <c r="B28" s="176"/>
      <c r="C28" s="176"/>
      <c r="D28" s="175"/>
      <c r="E28" s="173"/>
    </row>
    <row r="29" spans="1:5" ht="12.75">
      <c r="A29" s="176"/>
      <c r="B29" s="176"/>
      <c r="C29" s="176"/>
      <c r="E29" s="173"/>
    </row>
    <row r="30" spans="1:5" ht="12.75">
      <c r="A30" s="176"/>
      <c r="B30" s="176"/>
      <c r="C30" s="176"/>
      <c r="E30" s="173"/>
    </row>
    <row r="31" spans="1:5" ht="12.75">
      <c r="A31" s="176"/>
      <c r="B31" s="176"/>
      <c r="C31" s="176"/>
      <c r="D31" s="175"/>
      <c r="E31" s="173"/>
    </row>
    <row r="32" spans="1:5" ht="12.75">
      <c r="A32" s="176"/>
      <c r="B32" s="176"/>
      <c r="C32" s="176"/>
      <c r="D32" s="175"/>
      <c r="E32" s="173"/>
    </row>
    <row r="33" spans="1:5" ht="12.75">
      <c r="A33" s="176"/>
      <c r="B33" s="176"/>
      <c r="C33" s="176"/>
      <c r="D33" s="175"/>
      <c r="E33" s="173"/>
    </row>
    <row r="34" spans="1:6" ht="12.75">
      <c r="A34" s="176"/>
      <c r="B34" s="176"/>
      <c r="C34" s="176"/>
      <c r="D34" s="175"/>
      <c r="E34" s="173"/>
      <c r="F34" s="169"/>
    </row>
    <row r="35" spans="1:6" ht="12.75">
      <c r="A35" s="176"/>
      <c r="B35" s="176"/>
      <c r="C35" s="176"/>
      <c r="D35" s="175"/>
      <c r="E35" s="173"/>
      <c r="F35" s="169"/>
    </row>
    <row r="36" spans="1:6" ht="12.75">
      <c r="A36" s="176"/>
      <c r="B36" s="176"/>
      <c r="C36" s="176"/>
      <c r="D36" s="175"/>
      <c r="E36" s="173"/>
      <c r="F36" s="169"/>
    </row>
    <row r="37" spans="1:6" ht="12.75">
      <c r="A37" s="176"/>
      <c r="B37" s="176"/>
      <c r="C37" s="176"/>
      <c r="D37" s="175"/>
      <c r="E37" s="173"/>
      <c r="F37" s="169"/>
    </row>
  </sheetData>
  <sheetProtection/>
  <dataValidations count="1">
    <dataValidation type="list" allowBlank="1" showInputMessage="1" showErrorMessage="1" sqref="B16">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91" r:id="rId1"/>
  <headerFooter alignWithMargins="0">
    <oddFooter>&amp;L&amp;F&amp;RPrepared:  September 30, 2009</oddFooter>
  </headerFooter>
</worksheet>
</file>

<file path=xl/worksheets/sheet6.xml><?xml version="1.0" encoding="utf-8"?>
<worksheet xmlns="http://schemas.openxmlformats.org/spreadsheetml/2006/main" xmlns:r="http://schemas.openxmlformats.org/officeDocument/2006/relationships">
  <sheetPr codeName="Sheet17">
    <tabColor rgb="FF339966"/>
    <pageSetUpPr fitToPage="1"/>
  </sheetPr>
  <dimension ref="A1:H40"/>
  <sheetViews>
    <sheetView zoomScalePageLayoutView="0" workbookViewId="0" topLeftCell="A1">
      <selection activeCell="A1" sqref="A1"/>
    </sheetView>
  </sheetViews>
  <sheetFormatPr defaultColWidth="9.140625" defaultRowHeight="12.75"/>
  <cols>
    <col min="1" max="1" width="67.28125" style="172" customWidth="1"/>
    <col min="2" max="2" width="24.7109375" style="172" customWidth="1"/>
    <col min="3" max="3" width="25.7109375" style="172" customWidth="1"/>
    <col min="4" max="4" width="27.421875" style="171" bestFit="1" customWidth="1"/>
    <col min="5" max="5" width="9.140625" style="169" customWidth="1"/>
    <col min="6" max="6" width="9.140625" style="170" customWidth="1"/>
    <col min="7" max="16384" width="9.140625" style="169" customWidth="1"/>
  </cols>
  <sheetData>
    <row r="1" spans="1:6" ht="15.75">
      <c r="A1" s="266" t="s">
        <v>761</v>
      </c>
      <c r="F1" s="169"/>
    </row>
    <row r="2" spans="1:6" ht="12.75">
      <c r="A2" s="1071" t="s">
        <v>916</v>
      </c>
      <c r="F2" s="169"/>
    </row>
    <row r="3" spans="1:6" ht="12.75">
      <c r="A3" s="1071"/>
      <c r="F3" s="169"/>
    </row>
    <row r="4" spans="1:6" ht="12.75">
      <c r="A4" s="1112" t="s">
        <v>715</v>
      </c>
      <c r="B4" s="1041"/>
      <c r="C4" s="1041"/>
      <c r="F4" s="169"/>
    </row>
    <row r="5" spans="1:6" ht="12.75">
      <c r="A5" s="1111" t="s">
        <v>325</v>
      </c>
      <c r="B5" s="1041"/>
      <c r="C5" s="1041"/>
      <c r="F5" s="169"/>
    </row>
    <row r="6" spans="1:6" ht="12.75">
      <c r="A6" s="295" t="s">
        <v>760</v>
      </c>
      <c r="B6" s="1041"/>
      <c r="C6" s="1041"/>
      <c r="F6" s="169"/>
    </row>
    <row r="7" spans="1:6" ht="12.75">
      <c r="A7" s="183" t="s">
        <v>751</v>
      </c>
      <c r="B7" s="1041"/>
      <c r="C7" s="1041"/>
      <c r="F7" s="169"/>
    </row>
    <row r="8" spans="1:6" ht="38.25">
      <c r="A8" s="1053" t="s">
        <v>759</v>
      </c>
      <c r="B8" s="1043">
        <v>0.33</v>
      </c>
      <c r="C8" s="1038"/>
      <c r="D8" s="175"/>
      <c r="E8" s="173"/>
      <c r="F8" s="169"/>
    </row>
    <row r="9" spans="1:6" ht="12.75">
      <c r="A9" s="1046" t="s">
        <v>758</v>
      </c>
      <c r="B9" s="1044">
        <f>B8*'Basic School Info'!B6</f>
        <v>132</v>
      </c>
      <c r="C9" s="1045" t="s">
        <v>757</v>
      </c>
      <c r="D9" s="175"/>
      <c r="E9" s="173"/>
      <c r="F9" s="169"/>
    </row>
    <row r="10" spans="1:6" ht="12.75">
      <c r="A10" s="295" t="s">
        <v>748</v>
      </c>
      <c r="B10" s="265"/>
      <c r="C10" s="265"/>
      <c r="D10" s="175"/>
      <c r="E10" s="173"/>
      <c r="F10" s="169"/>
    </row>
    <row r="11" spans="1:6" ht="12.75">
      <c r="A11" s="1040" t="s">
        <v>756</v>
      </c>
      <c r="B11" s="1035">
        <v>180</v>
      </c>
      <c r="C11" s="1036"/>
      <c r="D11" s="175"/>
      <c r="E11" s="173"/>
      <c r="F11" s="169"/>
    </row>
    <row r="12" spans="1:6" ht="12.75">
      <c r="A12" s="1039" t="s">
        <v>329</v>
      </c>
      <c r="B12" s="1037">
        <f>1/(B11/'Basic School Info'!B6)</f>
        <v>2.2222222222222223</v>
      </c>
      <c r="C12" s="1038" t="s">
        <v>745</v>
      </c>
      <c r="D12" s="175"/>
      <c r="E12" s="173"/>
      <c r="F12" s="169"/>
    </row>
    <row r="13" spans="1:6" ht="12.75">
      <c r="A13" s="1046" t="s">
        <v>744</v>
      </c>
      <c r="B13" s="1047">
        <f>B11/'Basic School Info'!B6</f>
        <v>0.45</v>
      </c>
      <c r="C13" s="1045" t="s">
        <v>330</v>
      </c>
      <c r="D13" s="175"/>
      <c r="E13" s="173"/>
      <c r="F13" s="169"/>
    </row>
    <row r="14" spans="1:6" ht="12.75">
      <c r="A14" s="257"/>
      <c r="B14" s="1049"/>
      <c r="C14" s="265"/>
      <c r="D14" s="175"/>
      <c r="E14" s="173"/>
      <c r="F14" s="169"/>
    </row>
    <row r="15" spans="1:6" ht="25.5">
      <c r="A15" s="1050" t="s">
        <v>914</v>
      </c>
      <c r="B15" s="1156" t="s">
        <v>743</v>
      </c>
      <c r="C15" s="265"/>
      <c r="D15" s="175"/>
      <c r="E15" s="173"/>
      <c r="F15" s="169"/>
    </row>
    <row r="16" spans="1:6" ht="12.75">
      <c r="A16" s="1041"/>
      <c r="B16" s="265"/>
      <c r="C16" s="265"/>
      <c r="D16" s="175"/>
      <c r="E16" s="173"/>
      <c r="F16" s="169"/>
    </row>
    <row r="17" spans="1:6" ht="12.75">
      <c r="A17" s="1040" t="s">
        <v>742</v>
      </c>
      <c r="B17" s="1051">
        <f>IF(B15="Estimated",B9*Conversions!B81,B11*Conversions!B81)</f>
        <v>23100</v>
      </c>
      <c r="C17" s="1042" t="s">
        <v>755</v>
      </c>
      <c r="D17" s="175"/>
      <c r="E17" s="173"/>
      <c r="F17" s="169"/>
    </row>
    <row r="18" spans="1:5" ht="12.75">
      <c r="A18" s="1046" t="s">
        <v>740</v>
      </c>
      <c r="B18" s="1052">
        <f>B17/Conversions!B88</f>
        <v>1283.3333333333333</v>
      </c>
      <c r="C18" s="1045" t="s">
        <v>739</v>
      </c>
      <c r="D18" s="175"/>
      <c r="E18" s="173"/>
    </row>
    <row r="19" spans="1:5" ht="12.75">
      <c r="A19" s="1041"/>
      <c r="B19" s="265"/>
      <c r="C19" s="265"/>
      <c r="D19" s="175"/>
      <c r="E19" s="173"/>
    </row>
    <row r="20" spans="1:5" ht="12.75">
      <c r="A20" s="295" t="s">
        <v>754</v>
      </c>
      <c r="B20" s="265"/>
      <c r="C20" s="265"/>
      <c r="D20" s="173"/>
      <c r="E20" s="175"/>
    </row>
    <row r="21" spans="1:5" ht="12.75">
      <c r="A21" s="1054"/>
      <c r="B21" s="274" t="s">
        <v>331</v>
      </c>
      <c r="C21" s="1055" t="s">
        <v>326</v>
      </c>
      <c r="D21" s="273" t="s">
        <v>327</v>
      </c>
      <c r="E21" s="173"/>
    </row>
    <row r="22" spans="1:5" ht="12.75">
      <c r="A22" s="1056" t="str">
        <f>CONCATENATE("Recycling ",ROUND(B18,0)," lbs of plastic bottles is equivalent to:")</f>
        <v>Recycling 1283 lbs of plastic bottles is equivalent to:</v>
      </c>
      <c r="B22" s="294">
        <f>B18/2000*Conversions!B91</f>
        <v>4.748333333333333</v>
      </c>
      <c r="C22" s="1057">
        <f>B18*Conversions!B90/Conversions!B10</f>
        <v>4513.085015971632</v>
      </c>
      <c r="D22" s="1057">
        <f>C22*Conversions!B2</f>
        <v>6151.334876769334</v>
      </c>
      <c r="E22" s="173"/>
    </row>
    <row r="23" spans="1:8" ht="12.75">
      <c r="A23" s="265"/>
      <c r="B23" s="265"/>
      <c r="C23" s="265"/>
      <c r="D23" s="176"/>
      <c r="E23" s="176"/>
      <c r="F23" s="174"/>
      <c r="G23" s="173"/>
      <c r="H23" s="173"/>
    </row>
    <row r="24" spans="1:8" ht="12.75">
      <c r="A24" s="1058" t="s">
        <v>737</v>
      </c>
      <c r="B24" s="1059">
        <f>C22*Conversions!B93/24/365</f>
        <v>7.065347934821343</v>
      </c>
      <c r="C24" s="1060" t="s">
        <v>736</v>
      </c>
      <c r="D24" s="175"/>
      <c r="E24" s="173"/>
      <c r="F24" s="174"/>
      <c r="G24" s="173"/>
      <c r="H24" s="173"/>
    </row>
    <row r="25" spans="2:5" ht="12.75">
      <c r="B25" s="176"/>
      <c r="C25" s="176"/>
      <c r="D25" s="175"/>
      <c r="E25" s="173"/>
    </row>
    <row r="26" spans="2:5" ht="12.75">
      <c r="B26" s="176"/>
      <c r="C26" s="176"/>
      <c r="D26" s="175"/>
      <c r="E26" s="173"/>
    </row>
    <row r="27" spans="2:5" ht="12.75">
      <c r="B27" s="176"/>
      <c r="C27" s="176"/>
      <c r="D27" s="175"/>
      <c r="E27" s="173"/>
    </row>
    <row r="28" spans="2:5" ht="12.75">
      <c r="B28" s="176"/>
      <c r="C28" s="176"/>
      <c r="D28" s="175"/>
      <c r="E28" s="173"/>
    </row>
    <row r="29" spans="2:5" ht="12.75">
      <c r="B29" s="176"/>
      <c r="C29" s="176"/>
      <c r="D29" s="175"/>
      <c r="E29" s="173"/>
    </row>
    <row r="30" spans="2:5" ht="12.75">
      <c r="B30" s="176"/>
      <c r="C30" s="176"/>
      <c r="D30" s="175"/>
      <c r="E30" s="173"/>
    </row>
    <row r="31" spans="2:5" ht="12.75">
      <c r="B31" s="176"/>
      <c r="C31" s="176"/>
      <c r="D31" s="175"/>
      <c r="E31" s="173"/>
    </row>
    <row r="32" spans="2:5" ht="12.75">
      <c r="B32" s="176"/>
      <c r="C32" s="176"/>
      <c r="E32" s="173"/>
    </row>
    <row r="33" spans="2:5" ht="12.75">
      <c r="B33" s="176"/>
      <c r="C33" s="176"/>
      <c r="E33" s="173"/>
    </row>
    <row r="34" spans="1:6" ht="12.75">
      <c r="A34" s="169"/>
      <c r="B34" s="176"/>
      <c r="C34" s="176"/>
      <c r="D34" s="175"/>
      <c r="E34" s="173"/>
      <c r="F34" s="169"/>
    </row>
    <row r="35" spans="1:6" ht="12.75">
      <c r="A35" s="169"/>
      <c r="B35" s="176"/>
      <c r="C35" s="176"/>
      <c r="D35" s="175"/>
      <c r="E35" s="173"/>
      <c r="F35" s="169"/>
    </row>
    <row r="39" ht="12.75">
      <c r="A39" s="169"/>
    </row>
    <row r="40" ht="12.75">
      <c r="A40" s="169"/>
    </row>
  </sheetData>
  <sheetProtection/>
  <dataValidations count="1">
    <dataValidation type="list" allowBlank="1" showInputMessage="1" showErrorMessage="1" sqref="B15">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83" r:id="rId1"/>
  <headerFooter alignWithMargins="0">
    <oddFooter>&amp;L&amp;F&amp;RPrepared:  September 30, 2009</oddFooter>
  </headerFooter>
</worksheet>
</file>

<file path=xl/worksheets/sheet7.xml><?xml version="1.0" encoding="utf-8"?>
<worksheet xmlns="http://schemas.openxmlformats.org/spreadsheetml/2006/main" xmlns:r="http://schemas.openxmlformats.org/officeDocument/2006/relationships">
  <sheetPr codeName="Sheet18">
    <tabColor rgb="FF7ABC04"/>
    <pageSetUpPr fitToPage="1"/>
  </sheetPr>
  <dimension ref="A1:D29"/>
  <sheetViews>
    <sheetView zoomScalePageLayoutView="0" workbookViewId="0" topLeftCell="A1">
      <selection activeCell="A2" sqref="A2"/>
    </sheetView>
  </sheetViews>
  <sheetFormatPr defaultColWidth="9.140625" defaultRowHeight="12.75"/>
  <cols>
    <col min="1" max="1" width="67.28125" style="172" customWidth="1"/>
    <col min="2" max="2" width="19.7109375" style="172" customWidth="1"/>
    <col min="3" max="3" width="36.00390625" style="172" customWidth="1"/>
    <col min="4" max="4" width="27.421875" style="171" bestFit="1" customWidth="1"/>
    <col min="5" max="5" width="9.140625" style="169" customWidth="1"/>
    <col min="6" max="6" width="9.140625" style="170" customWidth="1"/>
    <col min="7" max="16384" width="9.140625" style="169" customWidth="1"/>
  </cols>
  <sheetData>
    <row r="1" ht="15.75">
      <c r="A1" s="266" t="s">
        <v>775</v>
      </c>
    </row>
    <row r="2" ht="12.75">
      <c r="A2" s="1071" t="s">
        <v>916</v>
      </c>
    </row>
    <row r="3" ht="12.75">
      <c r="A3" s="1071"/>
    </row>
    <row r="4" spans="1:3" ht="12.75">
      <c r="A4" s="1112" t="s">
        <v>715</v>
      </c>
      <c r="B4" s="1041"/>
      <c r="C4" s="1041"/>
    </row>
    <row r="5" spans="1:3" ht="12.75">
      <c r="A5" s="1111" t="s">
        <v>325</v>
      </c>
      <c r="B5" s="1041"/>
      <c r="C5" s="1041"/>
    </row>
    <row r="6" spans="1:3" ht="12.75">
      <c r="A6" s="295" t="s">
        <v>774</v>
      </c>
      <c r="B6" s="1041"/>
      <c r="C6" s="1041"/>
    </row>
    <row r="7" spans="1:4" ht="12" customHeight="1">
      <c r="A7" s="183" t="s">
        <v>751</v>
      </c>
      <c r="B7" s="265"/>
      <c r="C7" s="265"/>
      <c r="D7" s="175"/>
    </row>
    <row r="8" spans="3:4" ht="12.75">
      <c r="C8" s="1042"/>
      <c r="D8" s="175"/>
    </row>
    <row r="9" spans="1:4" ht="12.75">
      <c r="A9" s="1053" t="s">
        <v>773</v>
      </c>
      <c r="B9" s="1061">
        <v>5</v>
      </c>
      <c r="C9" s="1038"/>
      <c r="D9" s="175"/>
    </row>
    <row r="10" spans="1:4" ht="12.75">
      <c r="A10" s="1039" t="s">
        <v>740</v>
      </c>
      <c r="B10" s="1062">
        <f>B9*'Basic School Info'!B6</f>
        <v>2000</v>
      </c>
      <c r="C10" s="1038" t="s">
        <v>772</v>
      </c>
      <c r="D10" s="175"/>
    </row>
    <row r="11" spans="1:4" ht="12.75">
      <c r="A11" s="1046"/>
      <c r="B11" s="1047">
        <f>B10/500/10*50</f>
        <v>20</v>
      </c>
      <c r="C11" s="1045" t="s">
        <v>771</v>
      </c>
      <c r="D11" s="175"/>
    </row>
    <row r="12" spans="1:4" ht="12.75">
      <c r="A12" s="183" t="s">
        <v>748</v>
      </c>
      <c r="B12" s="265"/>
      <c r="C12" s="265"/>
      <c r="D12" s="175"/>
    </row>
    <row r="13" spans="1:4" ht="25.5">
      <c r="A13" s="1067" t="s">
        <v>770</v>
      </c>
      <c r="B13" s="1159">
        <v>0.32</v>
      </c>
      <c r="C13" s="1036"/>
      <c r="D13" s="175"/>
    </row>
    <row r="14" spans="1:4" ht="12.75">
      <c r="A14" s="1039" t="s">
        <v>769</v>
      </c>
      <c r="B14" s="1158">
        <v>1</v>
      </c>
      <c r="C14" s="1038"/>
      <c r="D14" s="175"/>
    </row>
    <row r="15" spans="1:4" ht="25.5">
      <c r="A15" s="1053" t="s">
        <v>768</v>
      </c>
      <c r="B15" s="1157">
        <v>0.7</v>
      </c>
      <c r="C15" s="1038"/>
      <c r="D15" s="175"/>
    </row>
    <row r="16" spans="1:4" ht="12.75">
      <c r="A16" s="1039" t="s">
        <v>332</v>
      </c>
      <c r="B16" s="1037">
        <f>B13*B14*B15</f>
        <v>0.22399999999999998</v>
      </c>
      <c r="C16" s="1038" t="s">
        <v>767</v>
      </c>
      <c r="D16" s="175"/>
    </row>
    <row r="17" spans="1:4" ht="12.75">
      <c r="A17" s="1046"/>
      <c r="B17" s="1047">
        <f>B16*Conversions!C106*Conversions!C124</f>
        <v>39.68246153846153</v>
      </c>
      <c r="C17" s="1045" t="s">
        <v>766</v>
      </c>
      <c r="D17" s="175"/>
    </row>
    <row r="18" spans="1:4" ht="12.75">
      <c r="A18" s="257"/>
      <c r="B18" s="1049"/>
      <c r="C18" s="265"/>
      <c r="D18" s="175"/>
    </row>
    <row r="19" spans="1:4" ht="12.75">
      <c r="A19" s="257"/>
      <c r="B19" s="1049"/>
      <c r="C19" s="265"/>
      <c r="D19" s="175"/>
    </row>
    <row r="20" spans="1:4" ht="12.75">
      <c r="A20" s="282" t="s">
        <v>915</v>
      </c>
      <c r="B20" s="1156" t="s">
        <v>765</v>
      </c>
      <c r="C20" s="265"/>
      <c r="D20" s="175"/>
    </row>
    <row r="21" spans="1:4" ht="12.75">
      <c r="A21" s="265"/>
      <c r="B21" s="265"/>
      <c r="C21" s="265"/>
      <c r="D21" s="175"/>
    </row>
    <row r="22" spans="1:4" ht="12.75">
      <c r="A22" s="1068" t="s">
        <v>764</v>
      </c>
      <c r="B22" s="1063">
        <f>IF(B20="Estimated",B11*Conversions!B81,B17*Conversions!B82)</f>
        <v>1507.933538461538</v>
      </c>
      <c r="C22" s="1064" t="s">
        <v>763</v>
      </c>
      <c r="D22" s="175"/>
    </row>
    <row r="23" spans="1:4" ht="12.75">
      <c r="A23" s="1069" t="s">
        <v>762</v>
      </c>
      <c r="B23" s="1065">
        <f>B22*(Conversions!D51-Conversions!D52)</f>
        <v>5089.918071995076</v>
      </c>
      <c r="C23" s="1066" t="s">
        <v>333</v>
      </c>
      <c r="D23" s="175"/>
    </row>
    <row r="24" spans="1:4" ht="12.75">
      <c r="A24" s="176"/>
      <c r="B24" s="176"/>
      <c r="C24" s="176"/>
      <c r="D24" s="175"/>
    </row>
    <row r="25" spans="1:4" ht="12.75">
      <c r="A25" s="176"/>
      <c r="B25" s="176"/>
      <c r="C25" s="176"/>
      <c r="D25" s="175"/>
    </row>
    <row r="26" spans="1:4" ht="12.75">
      <c r="A26" s="176"/>
      <c r="B26" s="176"/>
      <c r="C26" s="176"/>
      <c r="D26" s="175"/>
    </row>
    <row r="27" spans="1:4" ht="12.75">
      <c r="A27" s="176"/>
      <c r="B27" s="176"/>
      <c r="C27" s="176"/>
      <c r="D27" s="175"/>
    </row>
    <row r="28" spans="1:4" ht="12.75">
      <c r="A28" s="176"/>
      <c r="B28" s="176"/>
      <c r="C28" s="176"/>
      <c r="D28" s="175"/>
    </row>
    <row r="29" spans="1:4" ht="12.75">
      <c r="A29" s="176"/>
      <c r="B29" s="176"/>
      <c r="C29" s="176"/>
      <c r="D29" s="175"/>
    </row>
  </sheetData>
  <sheetProtection/>
  <dataValidations count="4">
    <dataValidation type="list" allowBlank="1" showInputMessage="1" showErrorMessage="1" sqref="B15">
      <formula1>Fullness_Paper</formula1>
    </dataValidation>
    <dataValidation type="list" allowBlank="1" showInputMessage="1" showErrorMessage="1" sqref="B14">
      <formula1>Collection_Paper</formula1>
    </dataValidation>
    <dataValidation type="list" allowBlank="1" showInputMessage="1" showErrorMessage="1" sqref="B13">
      <formula1>Bin_size_Paper</formula1>
    </dataValidation>
    <dataValidation type="list" allowBlank="1" showInputMessage="1" showErrorMessage="1" sqref="B20">
      <formula1>Assumption_Paper</formula1>
    </dataValidation>
  </dataValidations>
  <hyperlinks>
    <hyperlink ref="A2" location="'Table of Contents'!A1" display="TOC"/>
  </hyperlinks>
  <printOptions headings="1"/>
  <pageMargins left="0.75" right="0.75" top="1" bottom="1" header="0.5" footer="0.5"/>
  <pageSetup fitToHeight="1" fitToWidth="1" horizontalDpi="600" verticalDpi="600" orientation="landscape" scale="97" r:id="rId1"/>
  <headerFooter alignWithMargins="0">
    <oddFooter>&amp;L&amp;F&amp;RPrepared : September 30, 2009</oddFooter>
  </headerFooter>
</worksheet>
</file>

<file path=xl/worksheets/sheet8.xml><?xml version="1.0" encoding="utf-8"?>
<worksheet xmlns="http://schemas.openxmlformats.org/spreadsheetml/2006/main" xmlns:r="http://schemas.openxmlformats.org/officeDocument/2006/relationships">
  <sheetPr codeName="Sheet23">
    <tabColor rgb="FFF2F200"/>
    <pageSetUpPr fitToPage="1"/>
  </sheetPr>
  <dimension ref="A1:K39"/>
  <sheetViews>
    <sheetView zoomScalePageLayoutView="0" workbookViewId="0" topLeftCell="A1">
      <selection activeCell="A2" sqref="A2"/>
    </sheetView>
  </sheetViews>
  <sheetFormatPr defaultColWidth="11.421875" defaultRowHeight="12.75"/>
  <cols>
    <col min="1" max="16384" width="11.421875" style="169" customWidth="1"/>
  </cols>
  <sheetData>
    <row r="1" ht="15.75">
      <c r="A1" s="342" t="s">
        <v>10</v>
      </c>
    </row>
    <row r="2" ht="12.75">
      <c r="A2" s="400" t="s">
        <v>916</v>
      </c>
    </row>
    <row r="3" ht="12.75">
      <c r="A3" s="400"/>
    </row>
    <row r="4" spans="1:11" ht="27.75" customHeight="1">
      <c r="A4" s="1215" t="s">
        <v>9</v>
      </c>
      <c r="B4" s="1215"/>
      <c r="C4" s="1215"/>
      <c r="D4" s="1215"/>
      <c r="E4" s="1215"/>
      <c r="F4" s="1215"/>
      <c r="G4" s="1215"/>
      <c r="H4" s="1215"/>
      <c r="I4" s="1215"/>
      <c r="J4" s="1215"/>
      <c r="K4" s="1215"/>
    </row>
    <row r="5" spans="1:11" ht="15" customHeight="1">
      <c r="A5" s="1215" t="s">
        <v>8</v>
      </c>
      <c r="B5" s="1215"/>
      <c r="C5" s="1215"/>
      <c r="D5" s="1215"/>
      <c r="E5" s="1215"/>
      <c r="F5" s="1215"/>
      <c r="G5" s="1215"/>
      <c r="H5" s="1215"/>
      <c r="I5" s="1215"/>
      <c r="J5" s="1215"/>
      <c r="K5" s="1215"/>
    </row>
    <row r="6" spans="1:11" ht="27.75" customHeight="1">
      <c r="A6" s="1215" t="s">
        <v>7</v>
      </c>
      <c r="B6" s="1215"/>
      <c r="C6" s="1215"/>
      <c r="D6" s="1215"/>
      <c r="E6" s="1215"/>
      <c r="F6" s="1215"/>
      <c r="G6" s="1215"/>
      <c r="H6" s="1215"/>
      <c r="I6" s="1215"/>
      <c r="J6" s="1215"/>
      <c r="K6" s="1215"/>
    </row>
    <row r="7" spans="1:11" ht="27.75" customHeight="1">
      <c r="A7" s="1215" t="s">
        <v>6</v>
      </c>
      <c r="B7" s="1215"/>
      <c r="C7" s="1215"/>
      <c r="D7" s="1215"/>
      <c r="E7" s="1215"/>
      <c r="F7" s="1215"/>
      <c r="G7" s="1215"/>
      <c r="H7" s="1215"/>
      <c r="I7" s="1215"/>
      <c r="J7" s="1215"/>
      <c r="K7" s="1215"/>
    </row>
    <row r="8" spans="1:11" ht="117" customHeight="1">
      <c r="A8" s="299"/>
      <c r="B8" s="299"/>
      <c r="C8" s="299"/>
      <c r="D8" s="299"/>
      <c r="E8" s="299"/>
      <c r="F8" s="299"/>
      <c r="G8" s="299"/>
      <c r="H8" s="299"/>
      <c r="I8" s="299"/>
      <c r="J8" s="299"/>
      <c r="K8" s="299"/>
    </row>
    <row r="9" spans="1:11" ht="31.5" customHeight="1">
      <c r="A9" s="1215" t="s">
        <v>5</v>
      </c>
      <c r="B9" s="1215"/>
      <c r="C9" s="1215"/>
      <c r="D9" s="1215"/>
      <c r="E9" s="1215"/>
      <c r="F9" s="1215"/>
      <c r="G9" s="1215"/>
      <c r="H9" s="1215"/>
      <c r="I9" s="1215"/>
      <c r="J9" s="1215"/>
      <c r="K9" s="1215"/>
    </row>
    <row r="10" spans="1:11" ht="27.75" customHeight="1">
      <c r="A10" s="1215" t="s">
        <v>4</v>
      </c>
      <c r="B10" s="1215"/>
      <c r="C10" s="1215"/>
      <c r="D10" s="1215"/>
      <c r="E10" s="1215"/>
      <c r="F10" s="1215"/>
      <c r="G10" s="1215"/>
      <c r="H10" s="1215"/>
      <c r="I10" s="1215"/>
      <c r="J10" s="1215"/>
      <c r="K10" s="1215"/>
    </row>
    <row r="11" spans="1:11" ht="27.75" customHeight="1">
      <c r="A11" s="1215" t="s">
        <v>3</v>
      </c>
      <c r="B11" s="1215"/>
      <c r="C11" s="1215"/>
      <c r="D11" s="1215"/>
      <c r="E11" s="1215"/>
      <c r="F11" s="1215"/>
      <c r="G11" s="1215"/>
      <c r="H11" s="1215"/>
      <c r="I11" s="1215"/>
      <c r="J11" s="1215"/>
      <c r="K11" s="1215"/>
    </row>
    <row r="12" spans="1:11" ht="27.75" customHeight="1">
      <c r="A12" s="1215" t="s">
        <v>2</v>
      </c>
      <c r="B12" s="1215"/>
      <c r="C12" s="1215"/>
      <c r="D12" s="1215"/>
      <c r="E12" s="1215"/>
      <c r="F12" s="1215"/>
      <c r="G12" s="1215"/>
      <c r="H12" s="1215"/>
      <c r="I12" s="1215"/>
      <c r="J12" s="1215"/>
      <c r="K12" s="1215"/>
    </row>
    <row r="13" spans="1:11" ht="27.75" customHeight="1">
      <c r="A13" s="1215" t="s">
        <v>1</v>
      </c>
      <c r="B13" s="1215"/>
      <c r="C13" s="1215"/>
      <c r="D13" s="1215"/>
      <c r="E13" s="1215"/>
      <c r="F13" s="1215"/>
      <c r="G13" s="1215"/>
      <c r="H13" s="1215"/>
      <c r="I13" s="1215"/>
      <c r="J13" s="1215"/>
      <c r="K13" s="1215"/>
    </row>
    <row r="14" spans="1:11" ht="27.75" customHeight="1">
      <c r="A14" s="1215" t="s">
        <v>0</v>
      </c>
      <c r="B14" s="1215"/>
      <c r="C14" s="1215"/>
      <c r="D14" s="1215"/>
      <c r="E14" s="1215"/>
      <c r="F14" s="1215"/>
      <c r="G14" s="1215"/>
      <c r="H14" s="1215"/>
      <c r="I14" s="1215"/>
      <c r="J14" s="1215"/>
      <c r="K14" s="1215"/>
    </row>
    <row r="15" spans="1:11" ht="12.75">
      <c r="A15" s="398"/>
      <c r="B15" s="398"/>
      <c r="C15" s="398"/>
      <c r="D15" s="398"/>
      <c r="E15" s="398"/>
      <c r="F15" s="398"/>
      <c r="G15" s="398"/>
      <c r="H15" s="398"/>
      <c r="I15" s="398"/>
      <c r="J15" s="398"/>
      <c r="K15" s="398"/>
    </row>
    <row r="16" spans="1:11" ht="12.75">
      <c r="A16" s="1215" t="s">
        <v>1047</v>
      </c>
      <c r="B16" s="1215"/>
      <c r="C16" s="1215"/>
      <c r="D16" s="1215"/>
      <c r="E16" s="1215"/>
      <c r="F16" s="1215"/>
      <c r="G16" s="1215"/>
      <c r="H16" s="1215"/>
      <c r="I16" s="1215"/>
      <c r="J16" s="1215"/>
      <c r="K16" s="1215"/>
    </row>
    <row r="17" spans="1:11" ht="27.75" customHeight="1">
      <c r="A17" s="1215" t="s">
        <v>1046</v>
      </c>
      <c r="B17" s="1215"/>
      <c r="C17" s="1215"/>
      <c r="D17" s="1215"/>
      <c r="E17" s="1215"/>
      <c r="F17" s="1215"/>
      <c r="G17" s="1215"/>
      <c r="H17" s="1215"/>
      <c r="I17" s="1215"/>
      <c r="J17" s="1215"/>
      <c r="K17" s="1215"/>
    </row>
    <row r="18" spans="1:11" ht="27.75" customHeight="1">
      <c r="A18" s="1215" t="s">
        <v>1045</v>
      </c>
      <c r="B18" s="1215"/>
      <c r="C18" s="1215"/>
      <c r="D18" s="1215"/>
      <c r="E18" s="1215"/>
      <c r="F18" s="1215"/>
      <c r="G18" s="1215"/>
      <c r="H18" s="1215"/>
      <c r="I18" s="1215"/>
      <c r="J18" s="1215"/>
      <c r="K18" s="1215"/>
    </row>
    <row r="19" spans="1:11" ht="27.75" customHeight="1">
      <c r="A19" s="1215" t="s">
        <v>1044</v>
      </c>
      <c r="B19" s="1215"/>
      <c r="C19" s="1215"/>
      <c r="D19" s="1215"/>
      <c r="E19" s="1215"/>
      <c r="F19" s="1215"/>
      <c r="G19" s="1215"/>
      <c r="H19" s="1215"/>
      <c r="I19" s="1215"/>
      <c r="J19" s="1215"/>
      <c r="K19" s="1215"/>
    </row>
    <row r="21" ht="12.75" customHeight="1"/>
    <row r="22" ht="12.75" customHeight="1"/>
    <row r="23" ht="12.75" customHeight="1"/>
    <row r="24" ht="12.75" customHeight="1"/>
    <row r="25" ht="40.5" customHeight="1"/>
    <row r="30" ht="95.25" customHeight="1"/>
    <row r="31" ht="29.25" customHeight="1"/>
    <row r="32" ht="29.25" customHeight="1"/>
    <row r="33" ht="15.75">
      <c r="A33" s="397"/>
    </row>
    <row r="34" ht="15.75">
      <c r="A34" s="397"/>
    </row>
    <row r="37" ht="12.75">
      <c r="A37" s="169" t="s">
        <v>1043</v>
      </c>
    </row>
    <row r="38" ht="12.75">
      <c r="A38" s="169" t="s">
        <v>1042</v>
      </c>
    </row>
    <row r="39" ht="12.75">
      <c r="A39" s="169" t="s">
        <v>1041</v>
      </c>
    </row>
  </sheetData>
  <sheetProtection/>
  <mergeCells count="14">
    <mergeCell ref="A4:K4"/>
    <mergeCell ref="A10:K10"/>
    <mergeCell ref="A13:K13"/>
    <mergeCell ref="A6:K6"/>
    <mergeCell ref="A7:K7"/>
    <mergeCell ref="A11:K11"/>
    <mergeCell ref="A12:K12"/>
    <mergeCell ref="A5:K5"/>
    <mergeCell ref="A18:K18"/>
    <mergeCell ref="A19:K19"/>
    <mergeCell ref="A17:K17"/>
    <mergeCell ref="A9:K9"/>
    <mergeCell ref="A14:K14"/>
    <mergeCell ref="A16:K16"/>
  </mergeCells>
  <hyperlinks>
    <hyperlink ref="A2" location="'Table of Contents'!A1" display="TOC"/>
  </hyperlinks>
  <printOptions headings="1"/>
  <pageMargins left="0.75" right="0.75" top="1" bottom="1" header="0.5" footer="0.5"/>
  <pageSetup fitToHeight="1" fitToWidth="1" horizontalDpi="600" verticalDpi="600" orientation="landscape" scale="50" r:id="rId2"/>
  <drawing r:id="rId1"/>
</worksheet>
</file>

<file path=xl/worksheets/sheet9.xml><?xml version="1.0" encoding="utf-8"?>
<worksheet xmlns="http://schemas.openxmlformats.org/spreadsheetml/2006/main" xmlns:r="http://schemas.openxmlformats.org/officeDocument/2006/relationships">
  <sheetPr codeName="Sheet24">
    <tabColor rgb="FFF2F200"/>
    <pageSetUpPr fitToPage="1"/>
  </sheetPr>
  <dimension ref="A1:O40"/>
  <sheetViews>
    <sheetView zoomScalePageLayoutView="0" workbookViewId="0" topLeftCell="A22">
      <selection activeCell="A1" sqref="A1"/>
    </sheetView>
  </sheetViews>
  <sheetFormatPr defaultColWidth="11.421875" defaultRowHeight="12.75"/>
  <cols>
    <col min="1" max="6" width="18.7109375" style="169" customWidth="1"/>
    <col min="7" max="16384" width="11.421875" style="169" customWidth="1"/>
  </cols>
  <sheetData>
    <row r="1" spans="1:9" ht="15.75">
      <c r="A1" s="1130" t="s">
        <v>85</v>
      </c>
      <c r="B1" s="434"/>
      <c r="C1" s="300"/>
      <c r="D1" s="300"/>
      <c r="E1" s="300"/>
      <c r="F1" s="300"/>
      <c r="G1" s="300"/>
      <c r="H1" s="300"/>
      <c r="I1" s="300"/>
    </row>
    <row r="2" spans="1:15" ht="27.75" customHeight="1">
      <c r="A2" s="1217" t="s">
        <v>84</v>
      </c>
      <c r="B2" s="1218"/>
      <c r="C2" s="1218"/>
      <c r="D2" s="1218"/>
      <c r="E2" s="1218"/>
      <c r="F2" s="1218"/>
      <c r="G2" s="300"/>
      <c r="H2" s="300"/>
      <c r="I2" s="300"/>
      <c r="J2" s="433"/>
      <c r="K2" s="433"/>
      <c r="L2" s="433"/>
      <c r="M2" s="433"/>
      <c r="N2" s="433"/>
      <c r="O2" s="433"/>
    </row>
    <row r="3" spans="1:15" ht="27.75" customHeight="1">
      <c r="A3" s="1217" t="s">
        <v>83</v>
      </c>
      <c r="B3" s="1218"/>
      <c r="C3" s="1218"/>
      <c r="D3" s="1218"/>
      <c r="E3" s="1218"/>
      <c r="F3" s="1218"/>
      <c r="G3" s="300"/>
      <c r="H3" s="300"/>
      <c r="I3" s="300"/>
      <c r="J3" s="433"/>
      <c r="K3" s="433"/>
      <c r="L3" s="433"/>
      <c r="M3" s="433"/>
      <c r="N3" s="433"/>
      <c r="O3" s="433"/>
    </row>
    <row r="4" spans="1:15" ht="27.75" customHeight="1">
      <c r="A4" s="1217" t="s">
        <v>82</v>
      </c>
      <c r="B4" s="1218"/>
      <c r="C4" s="1218"/>
      <c r="D4" s="1218"/>
      <c r="E4" s="1218"/>
      <c r="F4" s="1218"/>
      <c r="G4" s="300"/>
      <c r="H4" s="300"/>
      <c r="I4" s="300"/>
      <c r="J4" s="433"/>
      <c r="K4" s="433"/>
      <c r="L4" s="433"/>
      <c r="M4" s="433"/>
      <c r="N4" s="433"/>
      <c r="O4" s="433"/>
    </row>
    <row r="5" spans="1:15" ht="27.75" customHeight="1">
      <c r="A5" s="1217" t="s">
        <v>81</v>
      </c>
      <c r="B5" s="1218"/>
      <c r="C5" s="1218"/>
      <c r="D5" s="1218"/>
      <c r="E5" s="1218"/>
      <c r="F5" s="1218"/>
      <c r="G5" s="300"/>
      <c r="H5" s="300"/>
      <c r="I5" s="300"/>
      <c r="J5" s="433"/>
      <c r="K5" s="433"/>
      <c r="L5" s="433"/>
      <c r="M5" s="433"/>
      <c r="N5" s="433"/>
      <c r="O5" s="433"/>
    </row>
    <row r="6" spans="1:15" ht="27.75" customHeight="1">
      <c r="A6" s="1217" t="s">
        <v>80</v>
      </c>
      <c r="B6" s="1218"/>
      <c r="C6" s="1218"/>
      <c r="D6" s="1218"/>
      <c r="E6" s="1218"/>
      <c r="F6" s="1218"/>
      <c r="G6" s="300"/>
      <c r="H6" s="300"/>
      <c r="I6" s="300"/>
      <c r="J6" s="433"/>
      <c r="K6" s="433"/>
      <c r="L6" s="433"/>
      <c r="M6" s="433"/>
      <c r="N6" s="433"/>
      <c r="O6" s="433"/>
    </row>
    <row r="7" spans="1:15" ht="27.75" customHeight="1">
      <c r="A7" s="1219" t="s">
        <v>79</v>
      </c>
      <c r="B7" s="1220"/>
      <c r="C7" s="1220"/>
      <c r="D7" s="1220"/>
      <c r="E7" s="1220"/>
      <c r="F7" s="1220"/>
      <c r="G7" s="300"/>
      <c r="H7" s="300"/>
      <c r="I7" s="300"/>
      <c r="J7" s="433"/>
      <c r="K7" s="433"/>
      <c r="L7" s="433"/>
      <c r="M7" s="433"/>
      <c r="N7" s="433"/>
      <c r="O7" s="433"/>
    </row>
    <row r="8" spans="1:15" ht="27.75" customHeight="1">
      <c r="A8" s="1219" t="s">
        <v>78</v>
      </c>
      <c r="B8" s="1220"/>
      <c r="C8" s="1220"/>
      <c r="D8" s="1220"/>
      <c r="E8" s="1220"/>
      <c r="F8" s="1220"/>
      <c r="G8" s="300"/>
      <c r="H8" s="300"/>
      <c r="I8" s="300"/>
      <c r="J8" s="433"/>
      <c r="K8" s="433"/>
      <c r="L8" s="433"/>
      <c r="M8" s="433"/>
      <c r="N8" s="433"/>
      <c r="O8" s="433"/>
    </row>
    <row r="9" spans="1:15" ht="27.75" customHeight="1">
      <c r="A9" s="1219" t="s">
        <v>77</v>
      </c>
      <c r="B9" s="1220"/>
      <c r="C9" s="1220"/>
      <c r="D9" s="1220"/>
      <c r="E9" s="1220"/>
      <c r="F9" s="1220"/>
      <c r="G9" s="300"/>
      <c r="H9" s="300"/>
      <c r="I9" s="300"/>
      <c r="J9" s="433"/>
      <c r="K9" s="433"/>
      <c r="L9" s="433"/>
      <c r="M9" s="433"/>
      <c r="N9" s="433"/>
      <c r="O9" s="433"/>
    </row>
    <row r="10" spans="1:15" ht="27.75" customHeight="1">
      <c r="A10" s="1223" t="s">
        <v>76</v>
      </c>
      <c r="B10" s="1224"/>
      <c r="C10" s="1224"/>
      <c r="D10" s="1224"/>
      <c r="E10" s="1224"/>
      <c r="F10" s="1224"/>
      <c r="G10" s="300"/>
      <c r="H10" s="300"/>
      <c r="I10" s="300"/>
      <c r="J10" s="433"/>
      <c r="K10" s="433"/>
      <c r="L10" s="433"/>
      <c r="M10" s="433"/>
      <c r="N10" s="433"/>
      <c r="O10" s="433"/>
    </row>
    <row r="11" spans="1:15" ht="27.75" customHeight="1">
      <c r="A11" s="1223" t="s">
        <v>75</v>
      </c>
      <c r="B11" s="1224"/>
      <c r="C11" s="1224"/>
      <c r="D11" s="1224"/>
      <c r="E11" s="1224"/>
      <c r="F11" s="1224"/>
      <c r="G11" s="300"/>
      <c r="H11" s="300"/>
      <c r="I11" s="300"/>
      <c r="J11" s="433"/>
      <c r="K11" s="433"/>
      <c r="L11" s="433"/>
      <c r="M11" s="433"/>
      <c r="N11" s="433"/>
      <c r="O11" s="433"/>
    </row>
    <row r="12" spans="1:15" ht="27.75" customHeight="1">
      <c r="A12" s="1223" t="s">
        <v>74</v>
      </c>
      <c r="B12" s="1224"/>
      <c r="C12" s="1224"/>
      <c r="D12" s="1224"/>
      <c r="E12" s="1224"/>
      <c r="F12" s="1224"/>
      <c r="G12" s="300"/>
      <c r="H12" s="300"/>
      <c r="I12" s="300"/>
      <c r="J12" s="433"/>
      <c r="K12" s="433"/>
      <c r="L12" s="433"/>
      <c r="M12" s="433"/>
      <c r="N12" s="433"/>
      <c r="O12" s="433"/>
    </row>
    <row r="13" spans="1:15" ht="27.75" customHeight="1">
      <c r="A13" s="1216" t="s">
        <v>73</v>
      </c>
      <c r="B13" s="1216"/>
      <c r="C13" s="1216"/>
      <c r="D13" s="1216"/>
      <c r="E13" s="1216"/>
      <c r="F13" s="1216"/>
      <c r="G13" s="300"/>
      <c r="H13" s="300"/>
      <c r="I13" s="300"/>
      <c r="J13" s="433"/>
      <c r="K13" s="433"/>
      <c r="L13" s="433"/>
      <c r="M13" s="433"/>
      <c r="N13" s="433"/>
      <c r="O13" s="433"/>
    </row>
    <row r="14" spans="1:15" ht="27.75" customHeight="1">
      <c r="A14" s="1216" t="s">
        <v>72</v>
      </c>
      <c r="B14" s="1216"/>
      <c r="C14" s="1216"/>
      <c r="D14" s="1216"/>
      <c r="E14" s="1216"/>
      <c r="F14" s="1216"/>
      <c r="G14" s="300"/>
      <c r="H14" s="300"/>
      <c r="I14" s="300"/>
      <c r="J14" s="433"/>
      <c r="K14" s="433"/>
      <c r="L14" s="433"/>
      <c r="M14" s="433"/>
      <c r="N14" s="433"/>
      <c r="O14" s="433"/>
    </row>
    <row r="15" spans="1:15" ht="27.75" customHeight="1">
      <c r="A15" s="1216" t="s">
        <v>71</v>
      </c>
      <c r="B15" s="1216"/>
      <c r="C15" s="1216"/>
      <c r="D15" s="1216"/>
      <c r="E15" s="1216"/>
      <c r="F15" s="1216"/>
      <c r="G15" s="300"/>
      <c r="H15" s="300"/>
      <c r="I15" s="300"/>
      <c r="J15" s="433"/>
      <c r="K15" s="433"/>
      <c r="L15" s="433"/>
      <c r="M15" s="433"/>
      <c r="N15" s="433"/>
      <c r="O15" s="433"/>
    </row>
    <row r="16" spans="1:15" ht="27.75" customHeight="1">
      <c r="A16" s="1217" t="s">
        <v>70</v>
      </c>
      <c r="B16" s="1218"/>
      <c r="C16" s="1218"/>
      <c r="D16" s="1218"/>
      <c r="E16" s="1218"/>
      <c r="F16" s="1218"/>
      <c r="G16" s="300"/>
      <c r="H16" s="300"/>
      <c r="I16" s="300"/>
      <c r="J16" s="431"/>
      <c r="K16" s="300"/>
      <c r="L16" s="300"/>
      <c r="M16" s="300"/>
      <c r="N16" s="300"/>
      <c r="O16" s="300"/>
    </row>
    <row r="17" spans="1:9" ht="27.75" customHeight="1">
      <c r="A17" s="1217" t="s">
        <v>69</v>
      </c>
      <c r="B17" s="1218"/>
      <c r="C17" s="1218"/>
      <c r="D17" s="1218"/>
      <c r="E17" s="1218"/>
      <c r="F17" s="1218"/>
      <c r="G17" s="300"/>
      <c r="H17" s="300"/>
      <c r="I17" s="300"/>
    </row>
    <row r="18" spans="1:15" ht="12.75" customHeight="1">
      <c r="A18" s="1217"/>
      <c r="B18" s="1218"/>
      <c r="C18" s="1218"/>
      <c r="D18" s="1218"/>
      <c r="E18" s="1218"/>
      <c r="F18" s="1218"/>
      <c r="G18" s="432"/>
      <c r="H18" s="300"/>
      <c r="I18" s="300"/>
      <c r="J18" s="431"/>
      <c r="K18" s="300"/>
      <c r="L18" s="300"/>
      <c r="M18" s="300"/>
      <c r="N18" s="300"/>
      <c r="O18" s="300"/>
    </row>
    <row r="19" spans="1:15" ht="18">
      <c r="A19" s="430" t="s">
        <v>68</v>
      </c>
      <c r="B19" s="298"/>
      <c r="J19" s="1221"/>
      <c r="K19" s="1222"/>
      <c r="L19" s="1222"/>
      <c r="M19" s="1222"/>
      <c r="N19" s="1222"/>
      <c r="O19" s="1222"/>
    </row>
    <row r="20" spans="1:7" ht="25.5">
      <c r="A20" s="1241"/>
      <c r="B20" s="429" t="s">
        <v>67</v>
      </c>
      <c r="C20" s="428" t="s">
        <v>66</v>
      </c>
      <c r="D20" s="427" t="s">
        <v>65</v>
      </c>
      <c r="E20" s="426" t="s">
        <v>64</v>
      </c>
      <c r="F20" s="425" t="s">
        <v>63</v>
      </c>
      <c r="G20" s="424"/>
    </row>
    <row r="21" spans="1:6" ht="12.75">
      <c r="A21" s="415" t="s">
        <v>62</v>
      </c>
      <c r="B21" s="418">
        <v>1.5</v>
      </c>
      <c r="C21" s="408">
        <v>1.5</v>
      </c>
      <c r="D21" s="417">
        <v>1.2</v>
      </c>
      <c r="E21" s="416">
        <v>1.2</v>
      </c>
      <c r="F21" s="410">
        <v>1.75</v>
      </c>
    </row>
    <row r="22" spans="1:6" ht="25.5">
      <c r="A22" s="415" t="s">
        <v>61</v>
      </c>
      <c r="B22" s="414" t="s">
        <v>58</v>
      </c>
      <c r="C22" s="413" t="s">
        <v>60</v>
      </c>
      <c r="D22" s="412" t="s">
        <v>58</v>
      </c>
      <c r="E22" s="416" t="s">
        <v>59</v>
      </c>
      <c r="F22" s="410" t="s">
        <v>58</v>
      </c>
    </row>
    <row r="23" spans="1:6" ht="12.75">
      <c r="A23" s="1229" t="s">
        <v>57</v>
      </c>
      <c r="B23" s="1246">
        <v>2400</v>
      </c>
      <c r="C23" s="1244" t="s">
        <v>56</v>
      </c>
      <c r="D23" s="419" t="s">
        <v>55</v>
      </c>
      <c r="E23" s="409" t="s">
        <v>54</v>
      </c>
      <c r="F23" s="1237">
        <v>2100</v>
      </c>
    </row>
    <row r="24" spans="1:6" ht="12.75">
      <c r="A24" s="1230"/>
      <c r="B24" s="1247"/>
      <c r="C24" s="1245"/>
      <c r="D24" s="417" t="s">
        <v>48</v>
      </c>
      <c r="E24" s="407" t="s">
        <v>48</v>
      </c>
      <c r="F24" s="1238"/>
    </row>
    <row r="25" spans="1:6" ht="12.75">
      <c r="A25" s="1229" t="s">
        <v>53</v>
      </c>
      <c r="B25" s="1242">
        <v>12000</v>
      </c>
      <c r="C25" s="1244" t="s">
        <v>52</v>
      </c>
      <c r="D25" s="419" t="s">
        <v>51</v>
      </c>
      <c r="E25" s="409" t="s">
        <v>50</v>
      </c>
      <c r="F25" s="1237" t="s">
        <v>49</v>
      </c>
    </row>
    <row r="26" spans="1:6" ht="12.75">
      <c r="A26" s="1230"/>
      <c r="B26" s="1243"/>
      <c r="C26" s="1245"/>
      <c r="D26" s="417" t="s">
        <v>48</v>
      </c>
      <c r="E26" s="407" t="s">
        <v>48</v>
      </c>
      <c r="F26" s="1238"/>
    </row>
    <row r="27" spans="1:6" ht="12.75">
      <c r="A27" s="1229" t="s">
        <v>47</v>
      </c>
      <c r="B27" s="420" t="s">
        <v>46</v>
      </c>
      <c r="C27" s="1233" t="s">
        <v>45</v>
      </c>
      <c r="D27" s="1239" t="s">
        <v>43</v>
      </c>
      <c r="E27" s="1235" t="s">
        <v>44</v>
      </c>
      <c r="F27" s="1237" t="s">
        <v>43</v>
      </c>
    </row>
    <row r="28" spans="1:6" ht="12.75">
      <c r="A28" s="1230"/>
      <c r="B28" s="418" t="s">
        <v>42</v>
      </c>
      <c r="C28" s="1234"/>
      <c r="D28" s="1240"/>
      <c r="E28" s="1236"/>
      <c r="F28" s="1238"/>
    </row>
    <row r="29" spans="1:6" ht="12.75">
      <c r="A29" s="415" t="s">
        <v>41</v>
      </c>
      <c r="B29" s="423" t="s">
        <v>39</v>
      </c>
      <c r="C29" s="422" t="s">
        <v>826</v>
      </c>
      <c r="D29" s="421" t="s">
        <v>826</v>
      </c>
      <c r="E29" s="411" t="s">
        <v>826</v>
      </c>
      <c r="F29" s="410" t="s">
        <v>25</v>
      </c>
    </row>
    <row r="30" spans="1:6" ht="12.75">
      <c r="A30" s="1229" t="s">
        <v>40</v>
      </c>
      <c r="B30" s="1246" t="s">
        <v>39</v>
      </c>
      <c r="C30" s="1233" t="s">
        <v>38</v>
      </c>
      <c r="D30" s="1239" t="s">
        <v>37</v>
      </c>
      <c r="E30" s="409" t="s">
        <v>36</v>
      </c>
      <c r="F30" s="1237" t="s">
        <v>24</v>
      </c>
    </row>
    <row r="31" spans="1:6" ht="12.75">
      <c r="A31" s="1230"/>
      <c r="B31" s="1247"/>
      <c r="C31" s="1234"/>
      <c r="D31" s="1240"/>
      <c r="E31" s="407" t="s">
        <v>35</v>
      </c>
      <c r="F31" s="1238"/>
    </row>
    <row r="32" spans="1:6" ht="25.5">
      <c r="A32" s="415" t="s">
        <v>34</v>
      </c>
      <c r="B32" s="414" t="s">
        <v>25</v>
      </c>
      <c r="C32" s="413" t="s">
        <v>25</v>
      </c>
      <c r="D32" s="412" t="s">
        <v>25</v>
      </c>
      <c r="E32" s="416" t="s">
        <v>33</v>
      </c>
      <c r="F32" s="410" t="s">
        <v>33</v>
      </c>
    </row>
    <row r="33" spans="1:6" ht="38.25">
      <c r="A33" s="415" t="s">
        <v>32</v>
      </c>
      <c r="B33" s="414" t="s">
        <v>31</v>
      </c>
      <c r="C33" s="413" t="s">
        <v>30</v>
      </c>
      <c r="D33" s="412" t="s">
        <v>29</v>
      </c>
      <c r="E33" s="416" t="s">
        <v>28</v>
      </c>
      <c r="F33" s="410" t="s">
        <v>27</v>
      </c>
    </row>
    <row r="34" spans="1:6" ht="12.75">
      <c r="A34" s="415" t="s">
        <v>26</v>
      </c>
      <c r="B34" s="414" t="s">
        <v>25</v>
      </c>
      <c r="C34" s="413" t="s">
        <v>25</v>
      </c>
      <c r="D34" s="412" t="s">
        <v>25</v>
      </c>
      <c r="E34" s="411" t="s">
        <v>826</v>
      </c>
      <c r="F34" s="410" t="s">
        <v>24</v>
      </c>
    </row>
    <row r="35" spans="1:6" ht="12.75">
      <c r="A35" s="1229" t="s">
        <v>23</v>
      </c>
      <c r="B35" s="1231">
        <v>1.36</v>
      </c>
      <c r="C35" s="1233" t="s">
        <v>22</v>
      </c>
      <c r="D35" s="1225">
        <v>5</v>
      </c>
      <c r="E35" s="409" t="s">
        <v>21</v>
      </c>
      <c r="F35" s="1227">
        <v>6.99</v>
      </c>
    </row>
    <row r="36" spans="1:6" ht="12.75">
      <c r="A36" s="1230"/>
      <c r="B36" s="1232"/>
      <c r="C36" s="1234"/>
      <c r="D36" s="1226"/>
      <c r="E36" s="407" t="s">
        <v>20</v>
      </c>
      <c r="F36" s="1228"/>
    </row>
    <row r="37" spans="1:6" ht="127.5">
      <c r="A37" s="406" t="s">
        <v>19</v>
      </c>
      <c r="B37" s="405" t="s">
        <v>18</v>
      </c>
      <c r="C37" s="404" t="s">
        <v>17</v>
      </c>
      <c r="D37" s="403" t="s">
        <v>16</v>
      </c>
      <c r="E37" s="402" t="s">
        <v>15</v>
      </c>
      <c r="F37" s="401" t="s">
        <v>14</v>
      </c>
    </row>
    <row r="38" spans="1:6" ht="33.75" customHeight="1">
      <c r="A38" s="1217" t="s">
        <v>13</v>
      </c>
      <c r="B38" s="1217"/>
      <c r="C38" s="1217"/>
      <c r="D38" s="1217"/>
      <c r="E38" s="1217"/>
      <c r="F38" s="1217"/>
    </row>
    <row r="39" spans="1:6" ht="25.5" customHeight="1">
      <c r="A39" s="1217" t="s">
        <v>12</v>
      </c>
      <c r="B39" s="1217"/>
      <c r="C39" s="1217"/>
      <c r="D39" s="1217"/>
      <c r="E39" s="1217"/>
      <c r="F39" s="1217"/>
    </row>
    <row r="40" ht="12.75">
      <c r="A40" s="400" t="s">
        <v>11</v>
      </c>
    </row>
  </sheetData>
  <sheetProtection/>
  <mergeCells count="43">
    <mergeCell ref="A30:A31"/>
    <mergeCell ref="B30:B31"/>
    <mergeCell ref="F23:F24"/>
    <mergeCell ref="A25:A26"/>
    <mergeCell ref="A23:A24"/>
    <mergeCell ref="B23:B24"/>
    <mergeCell ref="C23:C24"/>
    <mergeCell ref="A38:F38"/>
    <mergeCell ref="A39:F39"/>
    <mergeCell ref="F30:F31"/>
    <mergeCell ref="A27:A28"/>
    <mergeCell ref="C27:C28"/>
    <mergeCell ref="B25:B26"/>
    <mergeCell ref="C25:C26"/>
    <mergeCell ref="F25:F26"/>
    <mergeCell ref="D27:D28"/>
    <mergeCell ref="A2:F2"/>
    <mergeCell ref="D35:D36"/>
    <mergeCell ref="F35:F36"/>
    <mergeCell ref="A35:A36"/>
    <mergeCell ref="B35:B36"/>
    <mergeCell ref="C35:C36"/>
    <mergeCell ref="E27:E28"/>
    <mergeCell ref="F27:F28"/>
    <mergeCell ref="C30:C31"/>
    <mergeCell ref="D30:D31"/>
    <mergeCell ref="J19:O19"/>
    <mergeCell ref="A7:F7"/>
    <mergeCell ref="A18:F18"/>
    <mergeCell ref="A10:F10"/>
    <mergeCell ref="A16:F16"/>
    <mergeCell ref="A17:F17"/>
    <mergeCell ref="A11:F11"/>
    <mergeCell ref="A12:F12"/>
    <mergeCell ref="A13:F13"/>
    <mergeCell ref="A14:F14"/>
    <mergeCell ref="A15:F15"/>
    <mergeCell ref="A3:F3"/>
    <mergeCell ref="A4:F4"/>
    <mergeCell ref="A5:F5"/>
    <mergeCell ref="A6:F6"/>
    <mergeCell ref="A8:F8"/>
    <mergeCell ref="A9:F9"/>
  </mergeCells>
  <hyperlinks>
    <hyperlink ref="C23" r:id="rId1" display="recharge-alkaline"/>
    <hyperlink ref="C25" r:id="rId2" display="recharge-alkaline"/>
    <hyperlink ref="B29" r:id="rId3" display="alkaline"/>
    <hyperlink ref="D29" r:id="rId4" display="hicapcharger"/>
    <hyperlink ref="E34" location="memory" display="memory"/>
    <hyperlink ref="A39" r:id="rId5" display="http://www.cadex.com/b_02_0_0_choice.asp"/>
    <hyperlink ref="A40" r:id="rId6" display="http://michaelbluejay.com/batteries/"/>
    <hyperlink ref="E29" r:id="rId7" display="hicapcharger"/>
    <hyperlink ref="C29" r:id="rId8" display="hicapcharger"/>
    <hyperlink ref="A38" location="rechargenicads" display="rechargenicads"/>
  </hyperlinks>
  <printOptions headings="1"/>
  <pageMargins left="0.75" right="0.75" top="1" bottom="1" header="0.5" footer="0.5"/>
  <pageSetup fitToHeight="1" fitToWidth="1" orientation="portrait" scale="41" r:id="rId9"/>
  <rowBreaks count="1" manualBreakCount="1">
    <brk id="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muczm050</dc:creator>
  <cp:keywords/>
  <dc:description/>
  <cp:lastModifiedBy>mspencer</cp:lastModifiedBy>
  <cp:lastPrinted>2011-02-03T16:29:52Z</cp:lastPrinted>
  <dcterms:created xsi:type="dcterms:W3CDTF">2009-06-05T17:03:15Z</dcterms:created>
  <dcterms:modified xsi:type="dcterms:W3CDTF">2012-10-01T16:20:09Z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